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2013\W-13-072 FRA-70-13.10 6A\89464\structures\wall_0E7\spreadsheets\"/>
    </mc:Choice>
  </mc:AlternateContent>
  <bookViews>
    <workbookView xWindow="16545" yWindow="-15" windowWidth="14310" windowHeight="13440" activeTab="3"/>
  </bookViews>
  <sheets>
    <sheet name="AUTOTABLE" sheetId="10" r:id="rId1"/>
    <sheet name="Quants" sheetId="3" r:id="rId2"/>
    <sheet name="VOID" sheetId="4" r:id="rId3"/>
    <sheet name="E7" sheetId="9" r:id="rId4"/>
  </sheets>
  <externalReferences>
    <externalReference r:id="rId5"/>
    <externalReference r:id="rId6"/>
    <externalReference r:id="rId7"/>
  </externalReferences>
  <definedNames>
    <definedName name="_xlnm.Print_Area" localSheetId="3">'E7'!#REF!</definedName>
  </definedNames>
  <calcPr calcId="162913"/>
</workbook>
</file>

<file path=xl/calcChain.xml><?xml version="1.0" encoding="utf-8"?>
<calcChain xmlns="http://schemas.openxmlformats.org/spreadsheetml/2006/main">
  <c r="C318" i="9" l="1"/>
  <c r="C228" i="9"/>
  <c r="F25" i="10" l="1"/>
  <c r="C6" i="10" l="1"/>
  <c r="C7" i="10"/>
  <c r="C8" i="10"/>
  <c r="C9" i="10"/>
  <c r="C11" i="10"/>
  <c r="C12" i="10"/>
  <c r="C13" i="10"/>
  <c r="C14" i="10"/>
  <c r="C15" i="10"/>
  <c r="C17" i="10"/>
  <c r="C18" i="10"/>
  <c r="C19" i="10"/>
  <c r="C21" i="10"/>
  <c r="C22" i="10"/>
  <c r="C23" i="10"/>
  <c r="C25" i="10"/>
  <c r="C26" i="10"/>
  <c r="C27" i="10"/>
  <c r="C28" i="10"/>
  <c r="C29" i="10"/>
  <c r="C33" i="10"/>
  <c r="C34" i="10"/>
  <c r="C5" i="10"/>
  <c r="A19" i="10" l="1"/>
  <c r="B19" i="10"/>
  <c r="D19" i="10"/>
  <c r="E19" i="10"/>
  <c r="D19" i="9"/>
  <c r="C203" i="9"/>
  <c r="C322" i="9" l="1"/>
  <c r="E11" i="10" l="1"/>
  <c r="D11" i="10"/>
  <c r="B11" i="10"/>
  <c r="A11" i="10"/>
  <c r="D10" i="9" l="1"/>
  <c r="C180" i="9" l="1"/>
  <c r="C156" i="9"/>
  <c r="A18" i="10" l="1"/>
  <c r="B18" i="10"/>
  <c r="D18" i="10"/>
  <c r="E18" i="10"/>
  <c r="C158" i="9" l="1"/>
  <c r="A23" i="10" l="1"/>
  <c r="B23" i="10"/>
  <c r="D23" i="10"/>
  <c r="E23" i="10"/>
  <c r="C373" i="9" l="1"/>
  <c r="D23" i="9" s="1"/>
  <c r="C171" i="9" l="1"/>
  <c r="C173" i="9" s="1"/>
  <c r="C284" i="9"/>
  <c r="A7" i="10" l="1"/>
  <c r="B7" i="10"/>
  <c r="D7" i="10"/>
  <c r="E7" i="10"/>
  <c r="C339" i="9"/>
  <c r="C341" i="9" s="1"/>
  <c r="C336" i="9"/>
  <c r="C338" i="9" s="1"/>
  <c r="C333" i="9"/>
  <c r="C335" i="9" s="1"/>
  <c r="C344" i="9"/>
  <c r="C332" i="9"/>
  <c r="C192" i="9"/>
  <c r="C194" i="9" s="1"/>
  <c r="C189" i="9"/>
  <c r="C191" i="9" s="1"/>
  <c r="C182" i="9"/>
  <c r="C75" i="9"/>
  <c r="C77" i="9" s="1"/>
  <c r="C168" i="9"/>
  <c r="C170" i="9" s="1"/>
  <c r="C165" i="9"/>
  <c r="C167" i="9" s="1"/>
  <c r="C162" i="9"/>
  <c r="C164" i="9" s="1"/>
  <c r="C159" i="9"/>
  <c r="C161" i="9" s="1"/>
  <c r="C188" i="9"/>
  <c r="C185" i="9"/>
  <c r="C145" i="9"/>
  <c r="C147" i="9" s="1"/>
  <c r="C142" i="9"/>
  <c r="C144" i="9" s="1"/>
  <c r="C139" i="9"/>
  <c r="C141" i="9" s="1"/>
  <c r="C150" i="9"/>
  <c r="C138" i="9"/>
  <c r="C87" i="9"/>
  <c r="C89" i="9" s="1"/>
  <c r="C84" i="9"/>
  <c r="C86" i="9" s="1"/>
  <c r="C81" i="9"/>
  <c r="C83" i="9" s="1"/>
  <c r="C78" i="9"/>
  <c r="C80" i="9" s="1"/>
  <c r="C112" i="9"/>
  <c r="C114" i="9" s="1"/>
  <c r="C108" i="9"/>
  <c r="C110" i="9" s="1"/>
  <c r="C105" i="9"/>
  <c r="C107" i="9" s="1"/>
  <c r="C102" i="9"/>
  <c r="C104" i="9" s="1"/>
  <c r="C99" i="9"/>
  <c r="C101" i="9" s="1"/>
  <c r="C96" i="9"/>
  <c r="C98" i="9" s="1"/>
  <c r="C51" i="9"/>
  <c r="C53" i="9" s="1"/>
  <c r="C48" i="9"/>
  <c r="C50" i="9" s="1"/>
  <c r="C45" i="9"/>
  <c r="C47" i="9" s="1"/>
  <c r="C42" i="9"/>
  <c r="C44" i="9" s="1"/>
  <c r="C39" i="9"/>
  <c r="C41" i="9" s="1"/>
  <c r="C255" i="9"/>
  <c r="C257" i="9" s="1"/>
  <c r="C252" i="9"/>
  <c r="C254" i="9" s="1"/>
  <c r="C249" i="9"/>
  <c r="C251" i="9" s="1"/>
  <c r="C246" i="9"/>
  <c r="C248" i="9" s="1"/>
  <c r="C243" i="9"/>
  <c r="C245" i="9" s="1"/>
  <c r="C124" i="9"/>
  <c r="C126" i="9" s="1"/>
  <c r="C121" i="9"/>
  <c r="C123" i="9" s="1"/>
  <c r="C118" i="9"/>
  <c r="C120" i="9" s="1"/>
  <c r="C115" i="9"/>
  <c r="C117" i="9" s="1"/>
  <c r="C67" i="9"/>
  <c r="C69" i="9" s="1"/>
  <c r="C64" i="9"/>
  <c r="C66" i="9" s="1"/>
  <c r="C61" i="9"/>
  <c r="C63" i="9" s="1"/>
  <c r="C58" i="9"/>
  <c r="C60" i="9" s="1"/>
  <c r="C55" i="9"/>
  <c r="C57" i="9" s="1"/>
  <c r="C271" i="9"/>
  <c r="C273" i="9" s="1"/>
  <c r="C268" i="9"/>
  <c r="C270" i="9" s="1"/>
  <c r="C265" i="9"/>
  <c r="C267" i="9" s="1"/>
  <c r="C262" i="9"/>
  <c r="C264" i="9" s="1"/>
  <c r="C259" i="9"/>
  <c r="C261" i="9" s="1"/>
  <c r="C299" i="9"/>
  <c r="C301" i="9" s="1"/>
  <c r="C296" i="9"/>
  <c r="C298" i="9" s="1"/>
  <c r="C293" i="9"/>
  <c r="C295" i="9" s="1"/>
  <c r="C290" i="9"/>
  <c r="C292" i="9" s="1"/>
  <c r="C287" i="9"/>
  <c r="C289" i="9" s="1"/>
  <c r="C286" i="9"/>
  <c r="C350" i="9"/>
  <c r="A6" i="10"/>
  <c r="B6" i="10"/>
  <c r="D6" i="10"/>
  <c r="E6" i="10"/>
  <c r="A8" i="10"/>
  <c r="B8" i="10"/>
  <c r="D8" i="10"/>
  <c r="E8" i="10"/>
  <c r="A9" i="10"/>
  <c r="B9" i="10"/>
  <c r="D9" i="10"/>
  <c r="E9" i="10"/>
  <c r="A12" i="10"/>
  <c r="B12" i="10"/>
  <c r="D12" i="10"/>
  <c r="E12" i="10"/>
  <c r="A13" i="10"/>
  <c r="B13" i="10"/>
  <c r="D13" i="10"/>
  <c r="E13" i="10"/>
  <c r="A14" i="10"/>
  <c r="B14" i="10"/>
  <c r="D14" i="10"/>
  <c r="E14" i="10"/>
  <c r="E15" i="10"/>
  <c r="A17" i="10"/>
  <c r="B17" i="10"/>
  <c r="D17" i="10"/>
  <c r="E17" i="10"/>
  <c r="B20" i="10"/>
  <c r="E20" i="10"/>
  <c r="A21" i="10"/>
  <c r="B21" i="10"/>
  <c r="D21" i="10"/>
  <c r="E21" i="10"/>
  <c r="A22" i="10"/>
  <c r="B22" i="10"/>
  <c r="D22" i="10"/>
  <c r="E22" i="10"/>
  <c r="A25" i="10"/>
  <c r="B25" i="10"/>
  <c r="D25" i="10"/>
  <c r="E25" i="10"/>
  <c r="A26" i="10"/>
  <c r="B26" i="10"/>
  <c r="D26" i="10"/>
  <c r="E26" i="10"/>
  <c r="A27" i="10"/>
  <c r="B27" i="10"/>
  <c r="D27" i="10"/>
  <c r="E27" i="10"/>
  <c r="A28" i="10"/>
  <c r="B28" i="10"/>
  <c r="D28" i="10"/>
  <c r="E28" i="10"/>
  <c r="A29" i="10"/>
  <c r="B29" i="10"/>
  <c r="D29" i="10"/>
  <c r="E29" i="10"/>
  <c r="A31" i="10"/>
  <c r="B31" i="10"/>
  <c r="D31" i="10"/>
  <c r="E31" i="10"/>
  <c r="A32" i="10"/>
  <c r="B32" i="10"/>
  <c r="D32" i="10"/>
  <c r="E32" i="10"/>
  <c r="A33" i="10"/>
  <c r="B33" i="10"/>
  <c r="D33" i="10"/>
  <c r="E33" i="10"/>
  <c r="A34" i="10"/>
  <c r="B34" i="10"/>
  <c r="D34" i="10"/>
  <c r="E34" i="10"/>
  <c r="B5" i="10"/>
  <c r="D5" i="10"/>
  <c r="E5" i="10"/>
  <c r="A5" i="10"/>
  <c r="C128" i="9" l="1"/>
  <c r="C94" i="9" s="1"/>
  <c r="C175" i="9"/>
  <c r="C154" i="9" s="1"/>
  <c r="C196" i="9"/>
  <c r="C178" i="9" s="1"/>
  <c r="D6" i="9" s="1"/>
  <c r="C346" i="9"/>
  <c r="C328" i="9" s="1"/>
  <c r="C152" i="9"/>
  <c r="C134" i="9" s="1"/>
  <c r="D12" i="9" s="1"/>
  <c r="C91" i="9"/>
  <c r="C73" i="9" s="1"/>
  <c r="C71" i="9"/>
  <c r="C37" i="9" s="1"/>
  <c r="D7" i="9" s="1"/>
  <c r="C275" i="9"/>
  <c r="C241" i="9" s="1"/>
  <c r="C303" i="9"/>
  <c r="C282" i="9" s="1"/>
  <c r="D28" i="9" s="1"/>
  <c r="C229" i="9"/>
  <c r="C371" i="9"/>
  <c r="C366" i="9" s="1"/>
  <c r="D22" i="9" s="1"/>
  <c r="C361" i="9"/>
  <c r="C364" i="9" s="1"/>
  <c r="C359" i="9" s="1"/>
  <c r="D21" i="9" s="1"/>
  <c r="C353" i="9"/>
  <c r="C198" i="9"/>
  <c r="D17" i="9" s="1"/>
  <c r="C310" i="9"/>
  <c r="C316" i="9" l="1"/>
  <c r="D31" i="9" s="1"/>
  <c r="C31" i="10" s="1"/>
  <c r="C323" i="9"/>
  <c r="C326" i="9" s="1"/>
  <c r="D16" i="9"/>
  <c r="D26" i="9"/>
  <c r="D8" i="9"/>
  <c r="A8" i="9"/>
  <c r="C231" i="9"/>
  <c r="C233" i="9" l="1"/>
  <c r="C235" i="9" s="1"/>
  <c r="C221" i="9" s="1"/>
  <c r="D20" i="9" s="1"/>
  <c r="C20" i="10" s="1"/>
  <c r="A13" i="3"/>
  <c r="B13" i="3"/>
  <c r="C13" i="3"/>
  <c r="E13" i="3"/>
  <c r="F13" i="3"/>
  <c r="C355" i="9"/>
  <c r="D14" i="9" s="1"/>
  <c r="D13" i="3" l="1"/>
  <c r="A14" i="9"/>
  <c r="C348" i="9"/>
  <c r="D15" i="9" s="1"/>
  <c r="A15" i="3" l="1"/>
  <c r="D15" i="3" s="1"/>
  <c r="A16" i="9"/>
  <c r="D14" i="3"/>
  <c r="A15" i="9"/>
  <c r="B17" i="3"/>
  <c r="A6" i="3"/>
  <c r="D6" i="3" s="1"/>
  <c r="A16" i="3"/>
  <c r="D16" i="3" s="1"/>
  <c r="A18" i="3"/>
  <c r="D18" i="3" s="1"/>
  <c r="C320" i="9"/>
  <c r="D32" i="9" s="1"/>
  <c r="C32" i="10" s="1"/>
  <c r="A12" i="9"/>
  <c r="C305" i="9"/>
  <c r="D29" i="9" s="1"/>
  <c r="C277" i="9"/>
  <c r="D27" i="9" s="1"/>
  <c r="C237" i="9"/>
  <c r="D25" i="9" s="1"/>
  <c r="C217" i="9"/>
  <c r="C219" i="9" s="1"/>
  <c r="C208" i="9" s="1"/>
  <c r="C130" i="9"/>
  <c r="D9" i="9"/>
  <c r="E20" i="9"/>
  <c r="D20" i="10" s="1"/>
  <c r="B20" i="9"/>
  <c r="A20" i="10" s="1"/>
  <c r="F14" i="3"/>
  <c r="E15" i="9"/>
  <c r="B15" i="9"/>
  <c r="A15" i="10" s="1"/>
  <c r="B27" i="3"/>
  <c r="C27" i="3"/>
  <c r="D27" i="3"/>
  <c r="E27" i="3"/>
  <c r="F27" i="3"/>
  <c r="G27" i="3"/>
  <c r="E17" i="3"/>
  <c r="B21" i="4"/>
  <c r="B20" i="4"/>
  <c r="B14" i="4"/>
  <c r="B13" i="4"/>
  <c r="C21" i="4"/>
  <c r="C20" i="4"/>
  <c r="C14" i="4"/>
  <c r="C13" i="4"/>
  <c r="D21" i="4"/>
  <c r="D14" i="4"/>
  <c r="G14" i="4" s="1"/>
  <c r="D13" i="4"/>
  <c r="D18" i="4"/>
  <c r="G18" i="4" s="1"/>
  <c r="D20" i="4"/>
  <c r="D19" i="4"/>
  <c r="G19" i="4" s="1"/>
  <c r="D17" i="4"/>
  <c r="G17" i="4" s="1"/>
  <c r="D16" i="4"/>
  <c r="G16" i="4" s="1"/>
  <c r="D15" i="4"/>
  <c r="G15" i="4" s="1"/>
  <c r="D12" i="4"/>
  <c r="D10" i="4"/>
  <c r="D9" i="4"/>
  <c r="D8" i="4"/>
  <c r="D7" i="4"/>
  <c r="D6" i="4"/>
  <c r="D5" i="4"/>
  <c r="D4" i="4"/>
  <c r="D3" i="4"/>
  <c r="D2" i="4"/>
  <c r="C12" i="4"/>
  <c r="C10" i="4"/>
  <c r="C9" i="4"/>
  <c r="C8" i="4"/>
  <c r="C7" i="4"/>
  <c r="C6" i="4"/>
  <c r="C5" i="4"/>
  <c r="C4" i="4"/>
  <c r="C3" i="4"/>
  <c r="C2" i="4"/>
  <c r="B11" i="4"/>
  <c r="G11" i="4" s="1"/>
  <c r="B10" i="4"/>
  <c r="B9" i="4"/>
  <c r="B8" i="4"/>
  <c r="B7" i="4"/>
  <c r="B6" i="4"/>
  <c r="B5" i="4"/>
  <c r="B4" i="4"/>
  <c r="B3" i="4"/>
  <c r="B2" i="4"/>
  <c r="C14" i="3" l="1"/>
  <c r="B15" i="10"/>
  <c r="E14" i="3"/>
  <c r="D15" i="10"/>
  <c r="D5" i="9"/>
  <c r="A5" i="9"/>
  <c r="A22" i="3"/>
  <c r="D22" i="3" s="1"/>
  <c r="A28" i="9"/>
  <c r="A24" i="3"/>
  <c r="D24" i="3" s="1"/>
  <c r="A31" i="9"/>
  <c r="A23" i="3"/>
  <c r="D23" i="3" s="1"/>
  <c r="A29" i="9"/>
  <c r="A7" i="3"/>
  <c r="D7" i="3" s="1"/>
  <c r="A9" i="9"/>
  <c r="A17" i="3"/>
  <c r="D17" i="3" s="1"/>
  <c r="A20" i="9"/>
  <c r="A26" i="3"/>
  <c r="D26" i="3" s="1"/>
  <c r="A32" i="9"/>
  <c r="A25" i="9"/>
  <c r="A20" i="3" s="1"/>
  <c r="D20" i="3" s="1"/>
  <c r="A8" i="3"/>
  <c r="D8" i="3" s="1"/>
  <c r="A9" i="3"/>
  <c r="D9" i="3" s="1"/>
  <c r="G12" i="4"/>
  <c r="G5" i="4"/>
  <c r="G8" i="4"/>
  <c r="G13" i="4"/>
  <c r="G6" i="4"/>
  <c r="G4" i="4"/>
  <c r="G10" i="4"/>
  <c r="A14" i="3"/>
  <c r="B14" i="3"/>
  <c r="G20" i="4"/>
  <c r="G9" i="4"/>
  <c r="G7" i="4"/>
  <c r="G21" i="4"/>
  <c r="G3" i="4"/>
  <c r="A11" i="3" l="1"/>
  <c r="D11" i="3" s="1"/>
  <c r="A21" i="3"/>
  <c r="D21" i="3" s="1"/>
  <c r="A26" i="9"/>
</calcChain>
</file>

<file path=xl/sharedStrings.xml><?xml version="1.0" encoding="utf-8"?>
<sst xmlns="http://schemas.openxmlformats.org/spreadsheetml/2006/main" count="774" uniqueCount="183">
  <si>
    <t>ITEM</t>
  </si>
  <si>
    <t>TOTAL</t>
  </si>
  <si>
    <t>UNIT</t>
  </si>
  <si>
    <t>DESCRIPTION</t>
  </si>
  <si>
    <t>ITEM EXT.</t>
  </si>
  <si>
    <t>APP SHT</t>
  </si>
  <si>
    <t>CU YD</t>
  </si>
  <si>
    <t>SPECIAL</t>
  </si>
  <si>
    <t>LUMP</t>
  </si>
  <si>
    <t>SQ YD</t>
  </si>
  <si>
    <t>FT</t>
  </si>
  <si>
    <t>SQ FT</t>
  </si>
  <si>
    <t>UNCLASSIFIED EXCAVATION, AS PER PLAN</t>
  </si>
  <si>
    <t>00400</t>
  </si>
  <si>
    <t>STEEL PILES, MISC.: SOLDIER PILES</t>
  </si>
  <si>
    <t>10000</t>
  </si>
  <si>
    <t>LB</t>
  </si>
  <si>
    <t>EPOXY COATED REINFORCING STEEL</t>
  </si>
  <si>
    <t>10001</t>
  </si>
  <si>
    <t>SEALING OF CONCRETE SURFACES (PERMANENT GRAFFITI PROTECTION), AS PER PLAN</t>
  </si>
  <si>
    <t>10101</t>
  </si>
  <si>
    <t>SEALING OF CONCRETE SURFACES (EPOXY URETHANE), AS PER PLAN</t>
  </si>
  <si>
    <t>33001</t>
  </si>
  <si>
    <t>TYPE 2 WATERPROOFING, AS PER PLAN</t>
  </si>
  <si>
    <t>13600</t>
  </si>
  <si>
    <t>1" PREFORMED EXPANSION JOINT FILLER</t>
  </si>
  <si>
    <t>40010</t>
  </si>
  <si>
    <t>6" CONDUIT, TYPE C</t>
  </si>
  <si>
    <t>SPECIAL - RETAINING WALL, MISC.: TEMPORARY HARDWOOD LAGGING</t>
  </si>
  <si>
    <t>ESTIMATED QUANTITIES</t>
  </si>
  <si>
    <t>AS PER PLAN REFERENCE SHEET</t>
  </si>
  <si>
    <t>WALL DETAIL SHEET</t>
  </si>
  <si>
    <t>REINFORCING SCHEDULE</t>
  </si>
  <si>
    <t>MEASURE AREA</t>
  </si>
  <si>
    <t>MEASURE LENGTH</t>
  </si>
  <si>
    <t>CALC</t>
  </si>
  <si>
    <t>CLASS QC1 CONCRETE, AS PER PLAN</t>
  </si>
  <si>
    <t>EACH</t>
  </si>
  <si>
    <t>RETAINING WALL, MISC.: TIEBACKS, AS PER PLAN</t>
  </si>
  <si>
    <t>RETAINING WALL, MISC.: FAILURE TESTS</t>
  </si>
  <si>
    <t>RETAINING WALL, MISC.: CREEP TESTS</t>
  </si>
  <si>
    <t>RETAINING WALL, MISC.: PERFORMANCE TESTS</t>
  </si>
  <si>
    <t>RETAINING WALL, MISC.: PROOF TESTS</t>
  </si>
  <si>
    <t>RETAINING WALL, MISC.: PREFABRICATED GEOCOMPOSITE DRAIN</t>
  </si>
  <si>
    <t>XX</t>
  </si>
  <si>
    <t>610E50000</t>
  </si>
  <si>
    <t>610E50010</t>
  </si>
  <si>
    <t>94503</t>
  </si>
  <si>
    <t>DRILLED SHAFTS, 24" DIAMETER ABOVE BEDROCK, AS PER PLAN</t>
  </si>
  <si>
    <t>46011</t>
  </si>
  <si>
    <t>WALL S</t>
  </si>
  <si>
    <t>WALL U</t>
  </si>
  <si>
    <t>WALL V</t>
  </si>
  <si>
    <t>WALL D</t>
  </si>
  <si>
    <t>DRILLED SHAFTS, 30" DIAMETER ABOVE BEDROCK, AS PER PLAN</t>
  </si>
  <si>
    <t>EMHT</t>
  </si>
  <si>
    <t>*THE INDIVIDUAL WALL QUANTITIES ARE STILL IN THEIR ORIGINAL SPREADSHEETS. THIS SPREADSHEET REFERENCES THE ORIGINALS IN EACH WALL FOLDER. MAKE QUANTITY CHANGES TO THE INDIVIDUAL SPREADSHEETS.</t>
  </si>
  <si>
    <t>PAVED GUTTER, TYPE 1-2, AS PER PLAN</t>
  </si>
  <si>
    <t>X</t>
  </si>
  <si>
    <t>4" NON-PERFORATED CORRUGATED PLASTIC PIPE, INCLUDING SPECIALS</t>
  </si>
  <si>
    <t>MEASURE LENGTH (USE AVG. 6' PER DRAIN)</t>
  </si>
  <si>
    <t>WALL E7</t>
  </si>
  <si>
    <t>EMBANKMENT</t>
  </si>
  <si>
    <t>GRANULAR MATERIAL, TYPE B</t>
  </si>
  <si>
    <t>GRANULAR MATERIAL, TYPE C</t>
  </si>
  <si>
    <t>SPECIAL - SETTLEMENT PLATFORM</t>
  </si>
  <si>
    <t>RAILING, CONCRETE, AS PER PLAN</t>
  </si>
  <si>
    <t>MECHANICALLY STABILIZED EARTH WALL, AS PER PLAN</t>
  </si>
  <si>
    <t>WALL EXCAVATION</t>
  </si>
  <si>
    <t>FOUNDATION PREPARATION</t>
  </si>
  <si>
    <t>SELECT GRANULAR BACKFILL</t>
  </si>
  <si>
    <t>6" DRAINAGE PIPE, PERFORATED</t>
  </si>
  <si>
    <t>6" DRAINAGE PIPE, NON-PERFORATED</t>
  </si>
  <si>
    <t>CONCRETE COPING</t>
  </si>
  <si>
    <t>DAY</t>
  </si>
  <si>
    <t>ON-SITE ASSISTANCE</t>
  </si>
  <si>
    <t>LS</t>
  </si>
  <si>
    <t>AESTHETIC SURFACE TREATMENT</t>
  </si>
  <si>
    <t>SEALING OF CONCRETE SURFACES, (PERMANENT GRAFFITI PROTECTION), AS PER PLAN</t>
  </si>
  <si>
    <t>SEALING OF CONCRETE SURFACES (EPOXY URETHANE)</t>
  </si>
  <si>
    <t>ROADWAY MISC.: EPS GEOFOAM FILL</t>
  </si>
  <si>
    <t>CONCRETE MISC.: PRECAST WALL PANELS</t>
  </si>
  <si>
    <t>PORTIONS OF STRUCTURE REMOVED</t>
  </si>
  <si>
    <t>GRANULAR MATERIAL TYPE C</t>
  </si>
  <si>
    <t>CU FT</t>
  </si>
  <si>
    <t>VOLUME</t>
  </si>
  <si>
    <t>TOTAL VOLUME OF BACKFILL</t>
  </si>
  <si>
    <t>PANEL WALL AREA-SEE 511-71200</t>
  </si>
  <si>
    <t>OUTSIDE FACE-COPING</t>
  </si>
  <si>
    <t>TOP FACE-COPING</t>
  </si>
  <si>
    <t>BACK FACE-COPING</t>
  </si>
  <si>
    <t>AREA OF COPING</t>
  </si>
  <si>
    <t>TOTAL AREA TO SEAL</t>
  </si>
  <si>
    <t>LENGTH OF COPING</t>
  </si>
  <si>
    <t>PLAN AREA-SHADED REGION AREA</t>
  </si>
  <si>
    <t>FULL LENGTH MSE WALL</t>
  </si>
  <si>
    <t>NONE SHOWN ON PLANS, TIES INTO ANOTHER WALL</t>
  </si>
  <si>
    <t>TOTAL LENGTH BOTH MSE WALLS</t>
  </si>
  <si>
    <t>TOTAL PERFORATED PIPE</t>
  </si>
  <si>
    <t>PER GENERAL NOTES</t>
  </si>
  <si>
    <t>ROADWAY MISC.: LIGHT WEIGHT BACKFILL</t>
  </si>
  <si>
    <t>LENGTH OF WALL</t>
  </si>
  <si>
    <t>EXTRA FOR STEPS &amp; CHANGE IN ELEV.</t>
  </si>
  <si>
    <t>CLASS QC2 CONCRETE, MISC.: LOAD DISTRIBUTION SLAB</t>
  </si>
  <si>
    <t>CLASS QC2 CONCRETE, MISC: LOAD DISTRIBUTION SLAB</t>
  </si>
  <si>
    <t>SQ. FT</t>
  </si>
  <si>
    <t>C/S AREA OF MOMENT SLAB</t>
  </si>
  <si>
    <t>LBS</t>
  </si>
  <si>
    <t>REBAR SCHEDULE</t>
  </si>
  <si>
    <t>CLASS QC2 CONCRETE, MISC.: PARAPET INCLUDING SLEEPER SLAB WITH QC/QA</t>
  </si>
  <si>
    <t>1/2" PREFORMED EXPANSION JOINT FILLER</t>
  </si>
  <si>
    <t>MSE WALL AREA - TOP OF COPING TO TOP OF LEVELLING PAD</t>
  </si>
  <si>
    <t>2" PREFORMED EXPANSION JOINT FILLER</t>
  </si>
  <si>
    <t>DEPTH OF JOINT</t>
  </si>
  <si>
    <t>AREA</t>
  </si>
  <si>
    <t>LENGTH OF ABUTMENT (2 JOINTS)</t>
  </si>
  <si>
    <t>LENGTH OF WALL ALONG MOMENT SLAB</t>
  </si>
  <si>
    <t>BACK FACE-COPING ALONG ABUTMENT</t>
  </si>
  <si>
    <t>LENGTH-ABUTMENT</t>
  </si>
  <si>
    <t>EXPOSED CONCRETE BARRIER</t>
  </si>
  <si>
    <t>SGB INSPECTION AND COMPACTION TESTING</t>
  </si>
  <si>
    <t>02000</t>
  </si>
  <si>
    <t>SPECIAL - ENGINEERED FILL: LIGHTWEIGHT CELLULAR CONCRETE FILL, CLASS II</t>
  </si>
  <si>
    <t>SPECIAL - ENGINEERED FILL: LIGHTWEIGHT CELLULAR CONCRETE FILL, CLASS III</t>
  </si>
  <si>
    <t>SPECIAL - LIGHTWEIGHT CELLULAR CONCRETE FILL, CLASS II</t>
  </si>
  <si>
    <t>SPECIAL - LIGHTWEIGHT CELLULAR CONCRETE FILL, CLASS III</t>
  </si>
  <si>
    <t>COFFERDAMS AND EXCAVATION, AS PER PLAN</t>
  </si>
  <si>
    <t>&amp;</t>
  </si>
  <si>
    <t>LENGTH OF WALL TO ABUTMENT</t>
  </si>
  <si>
    <t>LENGTH OF MOMENT SLAB MINUS INLET I-3D</t>
  </si>
  <si>
    <t>AREA STA. 6001+50 TO 6002+00</t>
  </si>
  <si>
    <t>LENGTH BETWEEN STA. 6001+50 TO 6002+00</t>
  </si>
  <si>
    <t>VOLUME STA. 6001+50 TO 6002+00</t>
  </si>
  <si>
    <t>AREA STA. 6002+00 TO 6002+50</t>
  </si>
  <si>
    <t>LENGTH BETWEEN STA. 6002+00 TO 6002+50</t>
  </si>
  <si>
    <t>VOLUME STA. 6002+00 TO 6002+50</t>
  </si>
  <si>
    <t>AREA STA. 6002+50 TO 6003+00</t>
  </si>
  <si>
    <t>LENGTH BETWEEN STA. 6002+50 TO 6003+00</t>
  </si>
  <si>
    <t>VOLUME STA. 6002+50 TO 6003+00</t>
  </si>
  <si>
    <t>AREA STA. 6003+00 TO 6003+50</t>
  </si>
  <si>
    <t>LENGTH BETWEEN STA. 6003+00 TO 6003+50</t>
  </si>
  <si>
    <t>VOLUME STA. 6003+00 TO 6003+50</t>
  </si>
  <si>
    <t>LENGTH BETWEEN STA. 6003+50 TO 6003+60.08</t>
  </si>
  <si>
    <t>AREA STA. 6003+50 TO 6003+60.08</t>
  </si>
  <si>
    <t>VOLUME STA. 6003+50 TO 6003+60.08</t>
  </si>
  <si>
    <t>AREA STA. 277+55.02 TO 277+97.84/377+97.84</t>
  </si>
  <si>
    <t>LENGTH BETWEEN STA. 277+55.02 TO 277+97.84/377+97.84</t>
  </si>
  <si>
    <t>VOLUME STA. 277+55.02 TO 277+97.84/377+97.84</t>
  </si>
  <si>
    <t>AREA STA. 277+97.84/377+97.84 TO 378+50</t>
  </si>
  <si>
    <t>LENGTH BETWEEN STA. 277+97.84/377+97.84 TO 378+50</t>
  </si>
  <si>
    <t>VOLUME STA. 277+97.84/377+97.84 TO 378+50</t>
  </si>
  <si>
    <t>AREA STA. 378+50 TO 379+00</t>
  </si>
  <si>
    <t>LENGTH BETWEEN STA. 378+50 TO 379+00</t>
  </si>
  <si>
    <t>VOLUME STA. 378+50 TO 379+00</t>
  </si>
  <si>
    <t>AREA STA. 379+00 TO 379+50</t>
  </si>
  <si>
    <t>LENGTH BETWEEN STA. 379+00 TO 379+50</t>
  </si>
  <si>
    <t>VOLUME STA. 379+00 TO 379+50</t>
  </si>
  <si>
    <t>AREA STA. 379+50 TO 379+93.89</t>
  </si>
  <si>
    <t>LENGTH BETWEEN STA. 379+50 TO 379+93.89</t>
  </si>
  <si>
    <t>VOLUME STA. 379+50 TO 379+93.89</t>
  </si>
  <si>
    <t>TOTAL VOLUME</t>
  </si>
  <si>
    <t>AREA STA. 6001+39.06 TO 6001+67.24</t>
  </si>
  <si>
    <t>LENGTH BETWEEN STA. 6001+39.06 TO 6001+67.24</t>
  </si>
  <si>
    <t>VOLUME STA. 6001+39.06 TO 6001+67.24</t>
  </si>
  <si>
    <t>AREA STA. 6001+67.24 TO 6002+00</t>
  </si>
  <si>
    <t>LENGTH BETWEEN STA. 6001+67.24 TO 6002+00</t>
  </si>
  <si>
    <t>VOLUME STA. 6001+67.24 TO 6002+00</t>
  </si>
  <si>
    <t>AREA STA. 379+50 TO 379+83.76</t>
  </si>
  <si>
    <t>LENGTH BETWEEN STA. 379+50 TO 379+83.76</t>
  </si>
  <si>
    <t>VOLUME STA. 379+50 TO 379+83.76</t>
  </si>
  <si>
    <t>AREA STA. 379+83.76 TO 380+07.62</t>
  </si>
  <si>
    <t>LENGTH BETWEEN STA. 379+83.76 TO 380+07.62</t>
  </si>
  <si>
    <t>VOLUME STA. 379+83.76 TO 380+07.62</t>
  </si>
  <si>
    <t>VANDAL PROTECTION FENCE, 6' STRAIGHT, COATED FABRIC,  AS PER PLAN</t>
  </si>
  <si>
    <t>LENGTH OF THE FENCE</t>
  </si>
  <si>
    <t>VANDAL PROTECTION FENCE, 6' STRAIGHT, COATED FABRIC, AS PER PLAN</t>
  </si>
  <si>
    <t>PANEL WALL AREA-PROPOSED GROUND TO Bottom of coping</t>
  </si>
  <si>
    <t>ELEV. AREA, B0TTOM OF COPING TO TOP OF LEVELING PAD in front of geofoam</t>
  </si>
  <si>
    <t>MSE WALL AREA</t>
  </si>
  <si>
    <t>COPING LENGTH</t>
  </si>
  <si>
    <t>COPING HEIGHT</t>
  </si>
  <si>
    <t>CONCRETE MISC.: PRECAST FOOTING</t>
  </si>
  <si>
    <t>LENGTH OF WALL-LEVELLING PAD PRECAST FOOTING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</si>
</sst>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"/>
  </numFmts>
  <fonts count="13" x14ac:knownFonts="1">
    <font>
      <sz val="10"/>
      <name val="Arial"/>
    </font>
    <font>
      <sz val="14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name val="Verdana"/>
      <family val="2"/>
    </font>
    <font>
      <b/>
      <sz val="10"/>
      <name val="Arial"/>
      <family val="2"/>
    </font>
    <font>
      <sz val="10"/>
      <name val="Verdana"/>
      <family val="2"/>
    </font>
    <font>
      <sz val="11"/>
      <color rgb="FF3F3F76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trike/>
      <sz val="10"/>
      <color rgb="FFFF0000"/>
      <name val="Arial"/>
      <family val="2"/>
    </font>
    <font>
      <strike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7" fillId="2" borderId="24" applyNumberFormat="0" applyAlignment="0" applyProtection="0"/>
    <xf numFmtId="0" fontId="2" fillId="0" borderId="0"/>
    <xf numFmtId="0" fontId="2" fillId="5" borderId="28" applyNumberFormat="0" applyFont="0" applyAlignment="0" applyProtection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8" fillId="0" borderId="0" xfId="0" applyFont="1"/>
    <xf numFmtId="1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49" fontId="0" fillId="0" borderId="0" xfId="0" quotePrefix="1" applyNumberFormat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left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2" fontId="5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left"/>
    </xf>
    <xf numFmtId="0" fontId="5" fillId="0" borderId="0" xfId="0" applyFont="1" applyFill="1" applyAlignment="1">
      <alignment horizontal="center"/>
    </xf>
    <xf numFmtId="1" fontId="3" fillId="0" borderId="0" xfId="0" applyNumberFormat="1" applyFont="1" applyFill="1"/>
    <xf numFmtId="0" fontId="9" fillId="0" borderId="0" xfId="0" applyFont="1" applyFill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49" fontId="2" fillId="3" borderId="0" xfId="0" applyNumberFormat="1" applyFont="1" applyFill="1" applyBorder="1" applyAlignment="1">
      <alignment horizontal="left" vertic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1" fontId="3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left" vertical="top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49" fontId="6" fillId="0" borderId="13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0" fontId="6" fillId="0" borderId="10" xfId="0" applyNumberFormat="1" applyFont="1" applyBorder="1" applyAlignment="1">
      <alignment horizontal="center" vertical="center"/>
    </xf>
    <xf numFmtId="0" fontId="7" fillId="4" borderId="24" xfId="1" applyFill="1" applyAlignment="1">
      <alignment horizontal="center"/>
    </xf>
    <xf numFmtId="2" fontId="7" fillId="4" borderId="24" xfId="1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" fontId="3" fillId="0" borderId="1" xfId="0" applyNumberFormat="1" applyFont="1" applyBorder="1" applyAlignment="1">
      <alignment horizontal="left" vertical="center"/>
    </xf>
    <xf numFmtId="1" fontId="2" fillId="0" borderId="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1" fontId="2" fillId="0" borderId="2" xfId="0" quotePrefix="1" applyNumberFormat="1" applyFont="1" applyBorder="1" applyAlignment="1">
      <alignment horizontal="center" vertical="center"/>
    </xf>
    <xf numFmtId="0" fontId="10" fillId="3" borderId="0" xfId="0" applyFont="1" applyFill="1" applyAlignment="1">
      <alignment horizontal="center"/>
    </xf>
    <xf numFmtId="49" fontId="10" fillId="3" borderId="0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1" fillId="2" borderId="24" xfId="1" applyFont="1" applyAlignment="1">
      <alignment horizontal="center"/>
    </xf>
    <xf numFmtId="0" fontId="2" fillId="3" borderId="0" xfId="2" applyFill="1" applyAlignment="1">
      <alignment horizontal="center"/>
    </xf>
    <xf numFmtId="0" fontId="2" fillId="3" borderId="0" xfId="2" applyFont="1" applyFill="1" applyAlignment="1">
      <alignment horizontal="center"/>
    </xf>
    <xf numFmtId="1" fontId="2" fillId="3" borderId="0" xfId="2" applyNumberFormat="1" applyFont="1" applyFill="1" applyBorder="1" applyAlignment="1">
      <alignment horizontal="center" vertical="center"/>
    </xf>
    <xf numFmtId="0" fontId="2" fillId="3" borderId="0" xfId="2" applyFill="1" applyBorder="1" applyAlignment="1">
      <alignment horizontal="center"/>
    </xf>
    <xf numFmtId="0" fontId="2" fillId="3" borderId="0" xfId="2" applyNumberFormat="1" applyFont="1" applyFill="1" applyBorder="1" applyAlignment="1">
      <alignment horizontal="left" vertical="center"/>
    </xf>
    <xf numFmtId="49" fontId="2" fillId="3" borderId="0" xfId="2" applyNumberFormat="1" applyFont="1" applyFill="1" applyBorder="1" applyAlignment="1">
      <alignment horizontal="left" vertical="center"/>
    </xf>
    <xf numFmtId="1" fontId="2" fillId="3" borderId="0" xfId="2" applyNumberFormat="1" applyFont="1" applyFill="1" applyBorder="1" applyAlignment="1">
      <alignment horizontal="center" vertical="center"/>
    </xf>
    <xf numFmtId="0" fontId="2" fillId="3" borderId="0" xfId="2" applyFill="1" applyBorder="1" applyAlignment="1">
      <alignment horizontal="center"/>
    </xf>
    <xf numFmtId="0" fontId="2" fillId="0" borderId="0" xfId="2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2" fillId="0" borderId="0" xfId="2" applyFont="1" applyAlignment="1">
      <alignment horizontal="left" vertical="center"/>
    </xf>
    <xf numFmtId="0" fontId="2" fillId="0" borderId="0" xfId="2"/>
    <xf numFmtId="0" fontId="2" fillId="0" borderId="0" xfId="2" applyFont="1" applyAlignment="1">
      <alignment horizontal="left"/>
    </xf>
    <xf numFmtId="0" fontId="2" fillId="0" borderId="0" xfId="2" applyFont="1" applyAlignment="1">
      <alignment horizontal="center"/>
    </xf>
    <xf numFmtId="0" fontId="2" fillId="0" borderId="0" xfId="2" applyFont="1" applyFill="1" applyAlignment="1">
      <alignment horizontal="center"/>
    </xf>
    <xf numFmtId="0" fontId="7" fillId="0" borderId="24" xfId="1" applyFill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left" vertical="center"/>
    </xf>
    <xf numFmtId="1" fontId="3" fillId="0" borderId="18" xfId="0" applyNumberFormat="1" applyFont="1" applyBorder="1" applyAlignment="1">
      <alignment horizontal="left" vertical="center"/>
    </xf>
    <xf numFmtId="0" fontId="7" fillId="0" borderId="0" xfId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2" fillId="4" borderId="29" xfId="1" applyFont="1" applyFill="1" applyBorder="1" applyAlignment="1">
      <alignment horizontal="center"/>
    </xf>
    <xf numFmtId="0" fontId="2" fillId="0" borderId="0" xfId="2" applyFont="1"/>
    <xf numFmtId="0" fontId="12" fillId="4" borderId="24" xfId="1" applyFont="1" applyFill="1" applyAlignment="1">
      <alignment horizont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17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1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</cellXfs>
  <cellStyles count="4">
    <cellStyle name="Input" xfId="1" builtinId="20"/>
    <cellStyle name="Normal" xfId="0" builtinId="0"/>
    <cellStyle name="Normal 2" xfId="2"/>
    <cellStyle name="Not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19</xdr:col>
      <xdr:colOff>133350</xdr:colOff>
      <xdr:row>75</xdr:row>
      <xdr:rowOff>123825</xdr:rowOff>
    </xdr:to>
    <xdr:grpSp>
      <xdr:nvGrpSpPr>
        <xdr:cNvPr id="25197" name="InnerSheetBorder">
          <a:extLst>
            <a:ext uri="{FF2B5EF4-FFF2-40B4-BE49-F238E27FC236}">
              <a16:creationId xmlns:a16="http://schemas.microsoft.com/office/drawing/2014/main" id="{00000000-0008-0000-0100-00006D620000}"/>
            </a:ext>
          </a:extLst>
        </xdr:cNvPr>
        <xdr:cNvGrpSpPr>
          <a:grpSpLocks/>
        </xdr:cNvGrpSpPr>
      </xdr:nvGrpSpPr>
      <xdr:grpSpPr bwMode="auto">
        <a:xfrm>
          <a:off x="0" y="19050"/>
          <a:ext cx="17678400" cy="12125325"/>
          <a:chOff x="256" y="102"/>
          <a:chExt cx="1852" cy="1275"/>
        </a:xfrm>
      </xdr:grpSpPr>
      <xdr:sp macro="" textlink="">
        <xdr:nvSpPr>
          <xdr:cNvPr id="25198" name="OB2">
            <a:extLst>
              <a:ext uri="{FF2B5EF4-FFF2-40B4-BE49-F238E27FC236}">
                <a16:creationId xmlns:a16="http://schemas.microsoft.com/office/drawing/2014/main" id="{00000000-0008-0000-0100-00006E620000}"/>
              </a:ext>
            </a:extLst>
          </xdr:cNvPr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199" name="OB1">
            <a:extLst>
              <a:ext uri="{FF2B5EF4-FFF2-40B4-BE49-F238E27FC236}">
                <a16:creationId xmlns:a16="http://schemas.microsoft.com/office/drawing/2014/main" id="{00000000-0008-0000-0100-00006F6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00" name="OB3">
            <a:extLst>
              <a:ext uri="{FF2B5EF4-FFF2-40B4-BE49-F238E27FC236}">
                <a16:creationId xmlns:a16="http://schemas.microsoft.com/office/drawing/2014/main" id="{00000000-0008-0000-0100-00007062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01" name="OB4">
            <a:extLst>
              <a:ext uri="{FF2B5EF4-FFF2-40B4-BE49-F238E27FC236}">
                <a16:creationId xmlns:a16="http://schemas.microsoft.com/office/drawing/2014/main" id="{00000000-0008-0000-0100-000071620000}"/>
              </a:ext>
            </a:extLst>
          </xdr:cNvPr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S/spreadsheets/00SWQ401_Estimated%20Quantiti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U/spreadsheets/00UWQ401_Estimated%20Quantiti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2010/B-10-020%20HAM-75-7.85/77889/structures/WALL_00V/spreadsheets/00VWQ401_Estimated%20Quantiti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553</v>
          </cell>
        </row>
        <row r="4">
          <cell r="C4">
            <v>5514</v>
          </cell>
        </row>
        <row r="5">
          <cell r="C5">
            <v>69</v>
          </cell>
        </row>
        <row r="6">
          <cell r="C6">
            <v>65</v>
          </cell>
        </row>
        <row r="7">
          <cell r="C7">
            <v>103</v>
          </cell>
        </row>
        <row r="8">
          <cell r="C8">
            <v>21</v>
          </cell>
        </row>
        <row r="9">
          <cell r="C9">
            <v>777</v>
          </cell>
        </row>
        <row r="11">
          <cell r="C11">
            <v>48</v>
          </cell>
        </row>
        <row r="12">
          <cell r="C12">
            <v>357</v>
          </cell>
        </row>
        <row r="13">
          <cell r="C13">
            <v>286.08999999999997</v>
          </cell>
        </row>
        <row r="14">
          <cell r="C14">
            <v>204</v>
          </cell>
        </row>
        <row r="15">
          <cell r="C15">
            <v>243.2</v>
          </cell>
        </row>
        <row r="16">
          <cell r="C16">
            <v>1545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</sheetNames>
    <sheetDataSet>
      <sheetData sheetId="0"/>
      <sheetData sheetId="1">
        <row r="2">
          <cell r="C2" t="str">
            <v>LUMP</v>
          </cell>
        </row>
        <row r="3">
          <cell r="C3">
            <v>1779</v>
          </cell>
        </row>
        <row r="4">
          <cell r="C4">
            <v>19557</v>
          </cell>
        </row>
        <row r="5">
          <cell r="C5">
            <v>205</v>
          </cell>
        </row>
        <row r="6">
          <cell r="C6">
            <v>314</v>
          </cell>
        </row>
        <row r="7">
          <cell r="C7">
            <v>398</v>
          </cell>
        </row>
        <row r="8">
          <cell r="C8">
            <v>68</v>
          </cell>
        </row>
        <row r="9">
          <cell r="C9">
            <v>204</v>
          </cell>
        </row>
        <row r="11">
          <cell r="C11">
            <v>108</v>
          </cell>
        </row>
        <row r="12">
          <cell r="C12">
            <v>1012</v>
          </cell>
        </row>
        <row r="13">
          <cell r="C13">
            <v>505.07</v>
          </cell>
        </row>
        <row r="14">
          <cell r="C14">
            <v>453</v>
          </cell>
        </row>
        <row r="15">
          <cell r="C15">
            <v>756</v>
          </cell>
        </row>
        <row r="16">
          <cell r="C16">
            <v>4802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s"/>
      <sheetName val="Calcs"/>
      <sheetName val="Sheet1"/>
    </sheetNames>
    <sheetDataSet>
      <sheetData sheetId="0"/>
      <sheetData sheetId="1">
        <row r="2">
          <cell r="C2" t="str">
            <v>LUMP</v>
          </cell>
        </row>
        <row r="3">
          <cell r="C3">
            <v>14230</v>
          </cell>
        </row>
        <row r="4">
          <cell r="C4">
            <v>297098</v>
          </cell>
        </row>
        <row r="5">
          <cell r="C5">
            <v>1981</v>
          </cell>
        </row>
        <row r="6">
          <cell r="C6">
            <v>2202</v>
          </cell>
        </row>
        <row r="7">
          <cell r="C7">
            <v>4745</v>
          </cell>
        </row>
        <row r="8">
          <cell r="C8">
            <v>774</v>
          </cell>
        </row>
        <row r="9">
          <cell r="C9">
            <v>8649.67</v>
          </cell>
        </row>
        <row r="11">
          <cell r="C11">
            <v>668</v>
          </cell>
        </row>
        <row r="12">
          <cell r="C12">
            <v>6026</v>
          </cell>
        </row>
        <row r="13">
          <cell r="C13">
            <v>2875</v>
          </cell>
        </row>
        <row r="14">
          <cell r="C14">
            <v>644</v>
          </cell>
        </row>
        <row r="16">
          <cell r="C16">
            <v>8949.6000000000022</v>
          </cell>
        </row>
        <row r="17">
          <cell r="C17">
            <v>49169</v>
          </cell>
        </row>
        <row r="18">
          <cell r="C18">
            <v>11</v>
          </cell>
        </row>
        <row r="19">
          <cell r="C19">
            <v>264</v>
          </cell>
        </row>
        <row r="20">
          <cell r="C20">
            <v>243</v>
          </cell>
        </row>
        <row r="21">
          <cell r="C21">
            <v>9</v>
          </cell>
        </row>
        <row r="22">
          <cell r="C22">
            <v>76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19" workbookViewId="0">
      <selection sqref="A1:F34"/>
    </sheetView>
  </sheetViews>
  <sheetFormatPr defaultRowHeight="12.75" x14ac:dyDescent="0.2"/>
  <cols>
    <col min="2" max="2" width="13.140625" bestFit="1" customWidth="1"/>
    <col min="3" max="3" width="8.85546875" bestFit="1" customWidth="1"/>
    <col min="5" max="5" width="84.5703125" bestFit="1" customWidth="1"/>
    <col min="6" max="6" width="17" customWidth="1"/>
  </cols>
  <sheetData>
    <row r="1" spans="1:6" x14ac:dyDescent="0.2">
      <c r="A1" s="124" t="s">
        <v>29</v>
      </c>
      <c r="B1" s="125"/>
      <c r="C1" s="125"/>
      <c r="D1" s="125"/>
      <c r="E1" s="126"/>
      <c r="F1" s="130" t="s">
        <v>30</v>
      </c>
    </row>
    <row r="2" spans="1:6" ht="13.5" thickBot="1" x14ac:dyDescent="0.25">
      <c r="A2" s="127"/>
      <c r="B2" s="128"/>
      <c r="C2" s="128"/>
      <c r="D2" s="128"/>
      <c r="E2" s="129"/>
      <c r="F2" s="131"/>
    </row>
    <row r="3" spans="1:6" ht="12.75" customHeight="1" x14ac:dyDescent="0.2">
      <c r="A3" s="133" t="s">
        <v>0</v>
      </c>
      <c r="B3" s="135" t="s">
        <v>4</v>
      </c>
      <c r="C3" s="137" t="s">
        <v>1</v>
      </c>
      <c r="D3" s="138" t="s">
        <v>2</v>
      </c>
      <c r="E3" s="133" t="s">
        <v>3</v>
      </c>
      <c r="F3" s="131"/>
    </row>
    <row r="4" spans="1:6" ht="13.5" customHeight="1" thickBot="1" x14ac:dyDescent="0.25">
      <c r="A4" s="134"/>
      <c r="B4" s="136"/>
      <c r="C4" s="134"/>
      <c r="D4" s="139"/>
      <c r="E4" s="134"/>
      <c r="F4" s="132"/>
    </row>
    <row r="5" spans="1:6" x14ac:dyDescent="0.2">
      <c r="A5" s="6">
        <f>'E7'!B5</f>
        <v>203</v>
      </c>
      <c r="B5" s="73" t="str">
        <f>'E7'!C5</f>
        <v>02000</v>
      </c>
      <c r="C5" s="6">
        <f>'E7'!D5</f>
        <v>9684</v>
      </c>
      <c r="D5" s="36" t="str">
        <f>'E7'!E5</f>
        <v>CU YD</v>
      </c>
      <c r="E5" s="114" t="str">
        <f>'E7'!F5</f>
        <v>SPECIAL - ENGINEERED FILL: LIGHTWEIGHT CELLULAR CONCRETE FILL, CLASS II</v>
      </c>
      <c r="F5" s="6"/>
    </row>
    <row r="6" spans="1:6" x14ac:dyDescent="0.2">
      <c r="A6" s="6">
        <f>'E7'!B6</f>
        <v>203</v>
      </c>
      <c r="B6" s="73" t="str">
        <f>'E7'!C6</f>
        <v>02000</v>
      </c>
      <c r="C6" s="6">
        <f>'E7'!D6</f>
        <v>451</v>
      </c>
      <c r="D6" s="36" t="str">
        <f>'E7'!E6</f>
        <v>CU YD</v>
      </c>
      <c r="E6" s="114" t="str">
        <f>'E7'!F6</f>
        <v>SPECIAL - ENGINEERED FILL: LIGHTWEIGHT CELLULAR CONCRETE FILL, CLASS III</v>
      </c>
      <c r="F6" s="6"/>
    </row>
    <row r="7" spans="1:6" x14ac:dyDescent="0.2">
      <c r="A7" s="6">
        <f>'E7'!B7</f>
        <v>203</v>
      </c>
      <c r="B7" s="73">
        <f>'E7'!C7</f>
        <v>20000</v>
      </c>
      <c r="C7" s="6">
        <f>'E7'!D7</f>
        <v>436</v>
      </c>
      <c r="D7" s="36" t="str">
        <f>'E7'!E7</f>
        <v>CU YD</v>
      </c>
      <c r="E7" s="114" t="str">
        <f>'E7'!F7</f>
        <v>EMBANKMENT</v>
      </c>
      <c r="F7" s="6"/>
    </row>
    <row r="8" spans="1:6" x14ac:dyDescent="0.2">
      <c r="A8" s="6">
        <f>'E7'!B8</f>
        <v>203</v>
      </c>
      <c r="B8" s="73">
        <f>'E7'!C8</f>
        <v>35110</v>
      </c>
      <c r="C8" s="6">
        <f>'E7'!D8</f>
        <v>935</v>
      </c>
      <c r="D8" s="36" t="str">
        <f>'E7'!E8</f>
        <v>CU YD</v>
      </c>
      <c r="E8" s="114" t="str">
        <f>'E7'!F8</f>
        <v>GRANULAR MATERIAL, TYPE B</v>
      </c>
      <c r="F8" s="6"/>
    </row>
    <row r="9" spans="1:6" x14ac:dyDescent="0.2">
      <c r="A9" s="6">
        <f>'E7'!B9</f>
        <v>203</v>
      </c>
      <c r="B9" s="73">
        <f>'E7'!C9</f>
        <v>35120</v>
      </c>
      <c r="C9" s="6">
        <f>'E7'!D9</f>
        <v>456</v>
      </c>
      <c r="D9" s="36" t="str">
        <f>'E7'!E9</f>
        <v>CU YD</v>
      </c>
      <c r="E9" s="114" t="str">
        <f>'E7'!F9</f>
        <v>GRANULAR MATERIAL, TYPE C</v>
      </c>
      <c r="F9" s="6"/>
    </row>
    <row r="10" spans="1:6" x14ac:dyDescent="0.2">
      <c r="A10" s="6"/>
      <c r="B10" s="73"/>
      <c r="C10" s="123"/>
      <c r="D10" s="36"/>
      <c r="E10" s="114"/>
      <c r="F10" s="6"/>
    </row>
    <row r="11" spans="1:6" x14ac:dyDescent="0.2">
      <c r="A11" s="6">
        <f>'E7'!$B$10</f>
        <v>203</v>
      </c>
      <c r="B11" s="73">
        <f>'E7'!$C$10</f>
        <v>65000</v>
      </c>
      <c r="C11" s="6">
        <f>'E7'!D10</f>
        <v>2</v>
      </c>
      <c r="D11" s="36" t="str">
        <f>'E7'!$E$10</f>
        <v>EACH</v>
      </c>
      <c r="E11" s="114" t="str">
        <f>'E7'!$F$10</f>
        <v>SPECIAL - SETTLEMENT PLATFORM</v>
      </c>
      <c r="F11" s="6"/>
    </row>
    <row r="12" spans="1:6" x14ac:dyDescent="0.2">
      <c r="A12" s="6">
        <f>'E7'!B12</f>
        <v>203</v>
      </c>
      <c r="B12" s="73">
        <f>'E7'!C12</f>
        <v>98000</v>
      </c>
      <c r="C12" s="6">
        <f>'E7'!D12</f>
        <v>4687</v>
      </c>
      <c r="D12" s="36" t="str">
        <f>'E7'!E12</f>
        <v>CU YD</v>
      </c>
      <c r="E12" s="114" t="str">
        <f>'E7'!F12</f>
        <v>ROADWAY MISC.: EPS GEOFOAM FILL</v>
      </c>
      <c r="F12" s="6"/>
    </row>
    <row r="13" spans="1:6" x14ac:dyDescent="0.2">
      <c r="A13" s="6">
        <f>'E7'!B13</f>
        <v>503</v>
      </c>
      <c r="B13" s="73">
        <f>'E7'!C13</f>
        <v>11101</v>
      </c>
      <c r="C13" s="6" t="str">
        <f>'E7'!D13</f>
        <v>LS</v>
      </c>
      <c r="D13" s="36" t="str">
        <f>'E7'!E13</f>
        <v>LS</v>
      </c>
      <c r="E13" s="114" t="str">
        <f>'E7'!F13</f>
        <v>COFFERDAMS AND EXCAVATION, AS PER PLAN</v>
      </c>
      <c r="F13" s="6"/>
    </row>
    <row r="14" spans="1:6" x14ac:dyDescent="0.2">
      <c r="A14" s="6">
        <f>'E7'!B14</f>
        <v>509</v>
      </c>
      <c r="B14" s="73">
        <f>'E7'!C14</f>
        <v>10000</v>
      </c>
      <c r="C14" s="6">
        <f>'E7'!D14</f>
        <v>31202</v>
      </c>
      <c r="D14" s="36" t="str">
        <f>'E7'!E14</f>
        <v>LB</v>
      </c>
      <c r="E14" s="114" t="str">
        <f>'E7'!F14</f>
        <v>EPOXY COATED REINFORCING STEEL</v>
      </c>
      <c r="F14" s="6"/>
    </row>
    <row r="15" spans="1:6" x14ac:dyDescent="0.2">
      <c r="A15" s="6">
        <f>'E7'!B15</f>
        <v>511</v>
      </c>
      <c r="B15" s="73">
        <f>'E7'!C15</f>
        <v>53012</v>
      </c>
      <c r="C15" s="6">
        <f>'E7'!D15</f>
        <v>199</v>
      </c>
      <c r="D15" s="36" t="str">
        <f>'E7'!E15</f>
        <v>CU YD</v>
      </c>
      <c r="E15" s="114" t="str">
        <f>'E7'!F15</f>
        <v>CLASS QC2 CONCRETE, MISC.: PARAPET INCLUDING SLEEPER SLAB WITH QC/QA</v>
      </c>
      <c r="F15" s="6"/>
    </row>
    <row r="16" spans="1:6" x14ac:dyDescent="0.2">
      <c r="A16" s="6"/>
      <c r="B16" s="73"/>
      <c r="C16" s="123"/>
      <c r="D16" s="36"/>
      <c r="E16" s="114"/>
      <c r="F16" s="6"/>
    </row>
    <row r="17" spans="1:6" x14ac:dyDescent="0.2">
      <c r="A17" s="6">
        <f>'E7'!B16</f>
        <v>511</v>
      </c>
      <c r="B17" s="73">
        <f>'E7'!C16</f>
        <v>53012</v>
      </c>
      <c r="C17" s="6">
        <f>'E7'!D16</f>
        <v>110</v>
      </c>
      <c r="D17" s="36" t="str">
        <f>'E7'!E16</f>
        <v>CU YD</v>
      </c>
      <c r="E17" s="114" t="str">
        <f>'E7'!F16</f>
        <v>CLASS QC2 CONCRETE, MISC.: LOAD DISTRIBUTION SLAB</v>
      </c>
      <c r="F17" s="6"/>
    </row>
    <row r="18" spans="1:6" x14ac:dyDescent="0.2">
      <c r="A18" s="6">
        <f>'E7'!B17</f>
        <v>511</v>
      </c>
      <c r="B18" s="73">
        <f>'E7'!C17</f>
        <v>71200</v>
      </c>
      <c r="C18" s="6">
        <f>'E7'!D17</f>
        <v>5058</v>
      </c>
      <c r="D18" s="36" t="str">
        <f>'E7'!E17</f>
        <v>SQ FT</v>
      </c>
      <c r="E18" s="114" t="str">
        <f>'E7'!F17</f>
        <v>CONCRETE MISC.: PRECAST WALL PANELS</v>
      </c>
      <c r="F18" s="6"/>
    </row>
    <row r="19" spans="1:6" x14ac:dyDescent="0.2">
      <c r="A19" s="6">
        <f>'E7'!B19</f>
        <v>511</v>
      </c>
      <c r="B19" s="73">
        <f>'E7'!C19</f>
        <v>81100</v>
      </c>
      <c r="C19" s="6">
        <f>'E7'!D19</f>
        <v>121</v>
      </c>
      <c r="D19" s="36" t="str">
        <f>'E7'!E19</f>
        <v>FT</v>
      </c>
      <c r="E19" s="114" t="str">
        <f>'E7'!F19</f>
        <v>CONCRETE MISC.: PRECAST FOOTING</v>
      </c>
      <c r="F19" s="6"/>
    </row>
    <row r="20" spans="1:6" x14ac:dyDescent="0.2">
      <c r="A20" s="6">
        <f>'E7'!B20</f>
        <v>512</v>
      </c>
      <c r="B20" s="73">
        <f>'E7'!C20</f>
        <v>10100</v>
      </c>
      <c r="C20" s="6">
        <f>'E7'!D20</f>
        <v>2080</v>
      </c>
      <c r="D20" s="36" t="str">
        <f>'E7'!E20</f>
        <v>SQ YD</v>
      </c>
      <c r="E20" s="114" t="str">
        <f>'E7'!F20</f>
        <v>SEALING OF CONCRETE SURFACES (EPOXY URETHANE)</v>
      </c>
      <c r="F20" s="6"/>
    </row>
    <row r="21" spans="1:6" x14ac:dyDescent="0.2">
      <c r="A21" s="6">
        <f>'E7'!B21</f>
        <v>516</v>
      </c>
      <c r="B21" s="73">
        <f>'E7'!C21</f>
        <v>13200</v>
      </c>
      <c r="C21" s="6">
        <f>'E7'!D21</f>
        <v>76</v>
      </c>
      <c r="D21" s="36" t="str">
        <f>'E7'!E21</f>
        <v>SQ FT</v>
      </c>
      <c r="E21" s="114" t="str">
        <f>'E7'!F21</f>
        <v>1/2" PREFORMED EXPANSION JOINT FILLER</v>
      </c>
      <c r="F21" s="6"/>
    </row>
    <row r="22" spans="1:6" x14ac:dyDescent="0.2">
      <c r="A22" s="6">
        <f>'E7'!B22</f>
        <v>516</v>
      </c>
      <c r="B22" s="73">
        <f>'E7'!C22</f>
        <v>13900</v>
      </c>
      <c r="C22" s="6">
        <f>'E7'!D22</f>
        <v>857</v>
      </c>
      <c r="D22" s="36" t="str">
        <f>'E7'!E22</f>
        <v>SQ FT</v>
      </c>
      <c r="E22" s="114" t="str">
        <f>'E7'!F22</f>
        <v>2" PREFORMED EXPANSION JOINT FILLER</v>
      </c>
      <c r="F22" s="6"/>
    </row>
    <row r="23" spans="1:6" x14ac:dyDescent="0.2">
      <c r="A23" s="6">
        <f>'E7'!B23</f>
        <v>607</v>
      </c>
      <c r="B23" s="73">
        <f>'E7'!C23</f>
        <v>39901</v>
      </c>
      <c r="C23" s="6">
        <f>'E7'!D23</f>
        <v>363</v>
      </c>
      <c r="D23" s="36" t="str">
        <f>'E7'!E23</f>
        <v>FT</v>
      </c>
      <c r="E23" s="114" t="str">
        <f>'E7'!F23</f>
        <v>VANDAL PROTECTION FENCE, 6' STRAIGHT, COATED FABRIC, AS PER PLAN</v>
      </c>
      <c r="F23" s="6"/>
    </row>
    <row r="24" spans="1:6" x14ac:dyDescent="0.2">
      <c r="A24" s="6"/>
      <c r="B24" s="73"/>
      <c r="C24" s="6"/>
      <c r="D24" s="36"/>
      <c r="E24" s="114"/>
      <c r="F24" s="6"/>
    </row>
    <row r="25" spans="1:6" x14ac:dyDescent="0.2">
      <c r="A25" s="6">
        <f>'E7'!B25</f>
        <v>840</v>
      </c>
      <c r="B25" s="73">
        <f>'E7'!C25</f>
        <v>20001</v>
      </c>
      <c r="C25" s="6">
        <f>'E7'!D25</f>
        <v>17809</v>
      </c>
      <c r="D25" s="36" t="str">
        <f>'E7'!E25</f>
        <v>SQ FT</v>
      </c>
      <c r="E25" s="114" t="str">
        <f>'E7'!F25</f>
        <v>MECHANICALLY STABILIZED EARTH WALL, AS PER PLAN</v>
      </c>
      <c r="F25" s="6" t="str">
        <f>'E7'!G25</f>
        <v>&amp;</v>
      </c>
    </row>
    <row r="26" spans="1:6" x14ac:dyDescent="0.2">
      <c r="A26" s="6">
        <f>'E7'!B26</f>
        <v>840</v>
      </c>
      <c r="B26" s="73">
        <f>'E7'!C26</f>
        <v>21000</v>
      </c>
      <c r="C26" s="6">
        <f>'E7'!D26</f>
        <v>4995</v>
      </c>
      <c r="D26" s="36" t="str">
        <f>'E7'!E26</f>
        <v>CU YD</v>
      </c>
      <c r="E26" s="114" t="str">
        <f>'E7'!F26</f>
        <v>WALL EXCAVATION</v>
      </c>
      <c r="F26" s="6"/>
    </row>
    <row r="27" spans="1:6" x14ac:dyDescent="0.2">
      <c r="A27" s="6">
        <f>'E7'!B27</f>
        <v>840</v>
      </c>
      <c r="B27" s="73">
        <f>'E7'!C27</f>
        <v>22000</v>
      </c>
      <c r="C27" s="6">
        <f>'E7'!D27</f>
        <v>1485</v>
      </c>
      <c r="D27" s="36" t="str">
        <f>'E7'!E27</f>
        <v>SQ YD</v>
      </c>
      <c r="E27" s="114" t="str">
        <f>'E7'!F27</f>
        <v>FOUNDATION PREPARATION</v>
      </c>
      <c r="F27" s="6"/>
    </row>
    <row r="28" spans="1:6" x14ac:dyDescent="0.2">
      <c r="A28" s="6">
        <f>'E7'!B28</f>
        <v>840</v>
      </c>
      <c r="B28" s="73">
        <f>'E7'!C28</f>
        <v>23000</v>
      </c>
      <c r="C28" s="6">
        <f>'E7'!D28</f>
        <v>2660</v>
      </c>
      <c r="D28" s="36" t="str">
        <f>'E7'!E28</f>
        <v>CU YD</v>
      </c>
      <c r="E28" s="114" t="str">
        <f>'E7'!F28</f>
        <v>SELECT GRANULAR BACKFILL</v>
      </c>
      <c r="F28" s="6"/>
    </row>
    <row r="29" spans="1:6" x14ac:dyDescent="0.2">
      <c r="A29" s="6">
        <f>'E7'!B29</f>
        <v>840</v>
      </c>
      <c r="B29" s="73">
        <f>'E7'!C29</f>
        <v>25010</v>
      </c>
      <c r="C29" s="6">
        <f>'E7'!D29</f>
        <v>506</v>
      </c>
      <c r="D29" s="36" t="str">
        <f>'E7'!E29</f>
        <v>FT</v>
      </c>
      <c r="E29" s="114" t="str">
        <f>'E7'!F29</f>
        <v>6" DRAINAGE PIPE, PERFORATED</v>
      </c>
      <c r="F29" s="6"/>
    </row>
    <row r="30" spans="1:6" x14ac:dyDescent="0.2">
      <c r="A30" s="6"/>
      <c r="B30" s="73"/>
      <c r="C30" s="6"/>
      <c r="D30" s="36"/>
      <c r="E30" s="114"/>
      <c r="F30" s="6"/>
    </row>
    <row r="31" spans="1:6" x14ac:dyDescent="0.2">
      <c r="A31" s="6">
        <f>'E7'!B31</f>
        <v>840</v>
      </c>
      <c r="B31" s="73">
        <f>'E7'!C31</f>
        <v>26000</v>
      </c>
      <c r="C31" s="6">
        <f>'E7'!D31</f>
        <v>523</v>
      </c>
      <c r="D31" s="36" t="str">
        <f>'E7'!E31</f>
        <v>FT</v>
      </c>
      <c r="E31" s="114" t="str">
        <f>'E7'!F31</f>
        <v>CONCRETE COPING</v>
      </c>
      <c r="F31" s="6"/>
    </row>
    <row r="32" spans="1:6" x14ac:dyDescent="0.2">
      <c r="A32" s="6">
        <f>'E7'!B32</f>
        <v>840</v>
      </c>
      <c r="B32" s="73">
        <f>'E7'!C32</f>
        <v>26050</v>
      </c>
      <c r="C32" s="6">
        <f>'E7'!D32</f>
        <v>16763</v>
      </c>
      <c r="D32" s="36" t="str">
        <f>'E7'!E32</f>
        <v>SQ FT</v>
      </c>
      <c r="E32" s="114" t="str">
        <f>'E7'!F32</f>
        <v>AESTHETIC SURFACE TREATMENT</v>
      </c>
      <c r="F32" s="6"/>
    </row>
    <row r="33" spans="1:6" x14ac:dyDescent="0.2">
      <c r="A33" s="6">
        <f>'E7'!B33</f>
        <v>840</v>
      </c>
      <c r="B33" s="73">
        <f>'E7'!C33</f>
        <v>27000</v>
      </c>
      <c r="C33" s="6">
        <f>'E7'!D33</f>
        <v>5</v>
      </c>
      <c r="D33" s="36" t="str">
        <f>'E7'!E33</f>
        <v>DAY</v>
      </c>
      <c r="E33" s="114" t="str">
        <f>'E7'!F33</f>
        <v>ON-SITE ASSISTANCE</v>
      </c>
      <c r="F33" s="6"/>
    </row>
    <row r="34" spans="1:6" ht="13.5" thickBot="1" x14ac:dyDescent="0.25">
      <c r="A34" s="112">
        <f>'E7'!B34</f>
        <v>840</v>
      </c>
      <c r="B34" s="121">
        <f>'E7'!C34</f>
        <v>28000</v>
      </c>
      <c r="C34" s="38" t="str">
        <f>'E7'!D34</f>
        <v>LS</v>
      </c>
      <c r="D34" s="122" t="str">
        <f>'E7'!E34</f>
        <v>LS</v>
      </c>
      <c r="E34" s="115" t="str">
        <f>'E7'!F34</f>
        <v>SGB INSPECTION AND COMPACTION TESTING</v>
      </c>
      <c r="F34" s="112"/>
    </row>
  </sheetData>
  <mergeCells count="7">
    <mergeCell ref="A1:E2"/>
    <mergeCell ref="F1:F4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workbookViewId="0">
      <selection activeCell="D33" sqref="D33"/>
    </sheetView>
  </sheetViews>
  <sheetFormatPr defaultRowHeight="12.75" x14ac:dyDescent="0.2"/>
  <cols>
    <col min="1" max="1" width="7.85546875" bestFit="1" customWidth="1"/>
    <col min="2" max="3" width="13.85546875" bestFit="1" customWidth="1"/>
    <col min="4" max="4" width="8.85546875" bestFit="1" customWidth="1"/>
    <col min="5" max="5" width="7.140625" bestFit="1" customWidth="1"/>
    <col min="6" max="6" width="84" bestFit="1" customWidth="1"/>
    <col min="7" max="7" width="18.5703125" bestFit="1" customWidth="1"/>
    <col min="8" max="8" width="8.85546875" customWidth="1"/>
    <col min="13" max="15" width="9" customWidth="1"/>
  </cols>
  <sheetData>
    <row r="1" spans="1:7" ht="12.75" customHeight="1" x14ac:dyDescent="0.2">
      <c r="A1" s="70"/>
      <c r="B1" s="124" t="s">
        <v>29</v>
      </c>
      <c r="C1" s="125"/>
      <c r="D1" s="125"/>
      <c r="E1" s="125"/>
      <c r="F1" s="126"/>
      <c r="G1" s="130" t="s">
        <v>30</v>
      </c>
    </row>
    <row r="2" spans="1:7" ht="12.75" customHeight="1" thickBot="1" x14ac:dyDescent="0.25">
      <c r="A2" s="71"/>
      <c r="B2" s="127"/>
      <c r="C2" s="128"/>
      <c r="D2" s="128"/>
      <c r="E2" s="128"/>
      <c r="F2" s="129"/>
      <c r="G2" s="131"/>
    </row>
    <row r="3" spans="1:7" ht="12.75" customHeight="1" x14ac:dyDescent="0.2">
      <c r="A3" s="140" t="s">
        <v>61</v>
      </c>
      <c r="B3" s="133" t="s">
        <v>0</v>
      </c>
      <c r="C3" s="142" t="s">
        <v>4</v>
      </c>
      <c r="D3" s="142" t="s">
        <v>1</v>
      </c>
      <c r="E3" s="142" t="s">
        <v>2</v>
      </c>
      <c r="F3" s="133" t="s">
        <v>3</v>
      </c>
      <c r="G3" s="131"/>
    </row>
    <row r="4" spans="1:7" ht="13.5" customHeight="1" thickBot="1" x14ac:dyDescent="0.25">
      <c r="A4" s="141"/>
      <c r="B4" s="134"/>
      <c r="C4" s="143"/>
      <c r="D4" s="143"/>
      <c r="E4" s="143"/>
      <c r="F4" s="134"/>
      <c r="G4" s="132"/>
    </row>
    <row r="5" spans="1:7" s="54" customFormat="1" ht="13.5" customHeight="1" x14ac:dyDescent="0.2">
      <c r="A5" s="72" t="s">
        <v>8</v>
      </c>
      <c r="B5" s="75">
        <v>207</v>
      </c>
      <c r="C5" s="68">
        <v>11200</v>
      </c>
      <c r="D5" s="68" t="s">
        <v>8</v>
      </c>
      <c r="E5" s="68" t="s">
        <v>8</v>
      </c>
      <c r="F5" s="69" t="s">
        <v>82</v>
      </c>
      <c r="G5" s="67"/>
    </row>
    <row r="6" spans="1:7" x14ac:dyDescent="0.2">
      <c r="A6" s="73" t="e">
        <f>'E7'!#REF!</f>
        <v>#REF!</v>
      </c>
      <c r="B6" s="6">
        <v>203</v>
      </c>
      <c r="C6" s="6">
        <v>35110</v>
      </c>
      <c r="D6" s="6" t="e">
        <f>SUM(A6:A6)</f>
        <v>#REF!</v>
      </c>
      <c r="E6" s="50" t="s">
        <v>6</v>
      </c>
      <c r="F6" s="49" t="s">
        <v>63</v>
      </c>
      <c r="G6" s="42"/>
    </row>
    <row r="7" spans="1:7" x14ac:dyDescent="0.2">
      <c r="A7" s="73">
        <f>'E7'!D9</f>
        <v>456</v>
      </c>
      <c r="B7" s="6">
        <v>203</v>
      </c>
      <c r="C7" s="6">
        <v>35120</v>
      </c>
      <c r="D7" s="6">
        <f>SUM(A7:A7)</f>
        <v>456</v>
      </c>
      <c r="E7" s="50" t="s">
        <v>6</v>
      </c>
      <c r="F7" s="49" t="s">
        <v>64</v>
      </c>
      <c r="G7" s="42"/>
    </row>
    <row r="8" spans="1:7" x14ac:dyDescent="0.2">
      <c r="A8" s="73">
        <f>'E7'!D12</f>
        <v>4687</v>
      </c>
      <c r="B8" s="6">
        <v>203</v>
      </c>
      <c r="C8" s="6">
        <v>98000</v>
      </c>
      <c r="D8" s="6">
        <f>SUM(A8:A8)</f>
        <v>4687</v>
      </c>
      <c r="E8" s="50" t="s">
        <v>6</v>
      </c>
      <c r="F8" s="49" t="s">
        <v>80</v>
      </c>
      <c r="G8" s="42"/>
    </row>
    <row r="9" spans="1:7" x14ac:dyDescent="0.2">
      <c r="A9" s="73" t="e">
        <f>'E7'!#REF!</f>
        <v>#REF!</v>
      </c>
      <c r="B9" s="6">
        <v>203</v>
      </c>
      <c r="C9" s="6">
        <v>98000</v>
      </c>
      <c r="D9" s="6" t="e">
        <f>SUM(A9:A9)</f>
        <v>#REF!</v>
      </c>
      <c r="E9" s="50" t="s">
        <v>6</v>
      </c>
      <c r="F9" s="49" t="s">
        <v>100</v>
      </c>
      <c r="G9" s="42"/>
    </row>
    <row r="10" spans="1:7" x14ac:dyDescent="0.2">
      <c r="A10" s="73"/>
      <c r="B10" s="6"/>
      <c r="C10" s="6"/>
      <c r="D10" s="6"/>
      <c r="E10" s="7"/>
      <c r="F10" s="49"/>
      <c r="G10" s="42"/>
    </row>
    <row r="11" spans="1:7" x14ac:dyDescent="0.2">
      <c r="A11" s="73" t="e">
        <f>'E7'!#REF!</f>
        <v>#REF!</v>
      </c>
      <c r="B11" s="42" t="s">
        <v>7</v>
      </c>
      <c r="C11" s="6">
        <v>20365000</v>
      </c>
      <c r="D11" s="6" t="e">
        <f>SUM(A11:A11)</f>
        <v>#REF!</v>
      </c>
      <c r="E11" s="50" t="s">
        <v>37</v>
      </c>
      <c r="F11" s="49" t="s">
        <v>65</v>
      </c>
      <c r="G11" s="42"/>
    </row>
    <row r="12" spans="1:7" x14ac:dyDescent="0.2">
      <c r="A12" s="73"/>
      <c r="B12" s="4"/>
      <c r="C12" s="4"/>
      <c r="D12" s="6"/>
      <c r="E12" s="53"/>
      <c r="F12" s="52"/>
      <c r="G12" s="43"/>
    </row>
    <row r="13" spans="1:7" x14ac:dyDescent="0.2">
      <c r="A13" s="73">
        <f>'E7'!B14</f>
        <v>509</v>
      </c>
      <c r="B13" s="4">
        <f>'E7'!B14</f>
        <v>509</v>
      </c>
      <c r="C13" s="4">
        <f>'E7'!C14</f>
        <v>10000</v>
      </c>
      <c r="D13" s="4">
        <f>'E7'!D14</f>
        <v>31202</v>
      </c>
      <c r="E13" s="4" t="str">
        <f>'E7'!E14</f>
        <v>LB</v>
      </c>
      <c r="F13" s="80" t="str">
        <f>'E7'!F14</f>
        <v>EPOXY COATED REINFORCING STEEL</v>
      </c>
      <c r="G13" s="43"/>
    </row>
    <row r="14" spans="1:7" x14ac:dyDescent="0.2">
      <c r="A14" s="73">
        <f>'E7'!B15</f>
        <v>511</v>
      </c>
      <c r="B14" s="4">
        <f>'E7'!B15</f>
        <v>511</v>
      </c>
      <c r="C14" s="4">
        <f>'E7'!C15</f>
        <v>53012</v>
      </c>
      <c r="D14" s="4">
        <f>'E7'!D15</f>
        <v>199</v>
      </c>
      <c r="E14" s="4" t="str">
        <f>'E7'!E15</f>
        <v>CU YD</v>
      </c>
      <c r="F14" s="80" t="str">
        <f>'E7'!F15</f>
        <v>CLASS QC2 CONCRETE, MISC.: PARAPET INCLUDING SLEEPER SLAB WITH QC/QA</v>
      </c>
      <c r="G14" s="43"/>
    </row>
    <row r="15" spans="1:7" x14ac:dyDescent="0.2">
      <c r="A15" s="73">
        <f>'E7'!D16</f>
        <v>110</v>
      </c>
      <c r="B15" s="4">
        <v>511</v>
      </c>
      <c r="C15" s="4">
        <v>53012</v>
      </c>
      <c r="D15" s="4">
        <f>A15</f>
        <v>110</v>
      </c>
      <c r="E15" s="53" t="s">
        <v>6</v>
      </c>
      <c r="F15" s="52" t="s">
        <v>103</v>
      </c>
      <c r="G15" s="43"/>
    </row>
    <row r="16" spans="1:7" ht="12.75" customHeight="1" x14ac:dyDescent="0.2">
      <c r="A16" s="73" t="e">
        <f>'E7'!#REF!</f>
        <v>#REF!</v>
      </c>
      <c r="B16" s="4">
        <v>512</v>
      </c>
      <c r="C16" s="4">
        <v>10001</v>
      </c>
      <c r="D16" s="6" t="e">
        <f>A16</f>
        <v>#REF!</v>
      </c>
      <c r="E16" s="53" t="s">
        <v>9</v>
      </c>
      <c r="F16" s="52" t="s">
        <v>78</v>
      </c>
      <c r="G16" s="43"/>
    </row>
    <row r="17" spans="1:7" ht="12.75" customHeight="1" x14ac:dyDescent="0.2">
      <c r="A17" s="73">
        <f>'E7'!D20</f>
        <v>2080</v>
      </c>
      <c r="B17" s="4">
        <f>IF(VOID!E7=0, "", VOID!E7)</f>
        <v>512</v>
      </c>
      <c r="C17" s="4">
        <v>10100</v>
      </c>
      <c r="D17" s="6">
        <f>SUM(A17:A17)</f>
        <v>2080</v>
      </c>
      <c r="E17" s="5" t="str">
        <f>IF(VOID!H7=0, "", VOID!H7)</f>
        <v>SQ YD</v>
      </c>
      <c r="F17" s="52" t="s">
        <v>79</v>
      </c>
      <c r="G17" s="43"/>
    </row>
    <row r="18" spans="1:7" ht="12.75" hidden="1" customHeight="1" x14ac:dyDescent="0.2">
      <c r="A18" s="73">
        <f>'E7'!D21</f>
        <v>76</v>
      </c>
      <c r="B18" s="4">
        <v>517</v>
      </c>
      <c r="C18" s="4">
        <v>74501</v>
      </c>
      <c r="D18" s="6">
        <f>SUM(A18:A18)</f>
        <v>76</v>
      </c>
      <c r="E18" s="53" t="s">
        <v>10</v>
      </c>
      <c r="F18" s="52" t="s">
        <v>66</v>
      </c>
      <c r="G18" s="43"/>
    </row>
    <row r="19" spans="1:7" ht="12.75" customHeight="1" x14ac:dyDescent="0.2">
      <c r="A19" s="73"/>
      <c r="B19" s="4"/>
      <c r="C19" s="4"/>
      <c r="D19" s="6"/>
      <c r="E19" s="53"/>
      <c r="F19" s="52"/>
      <c r="G19" s="43"/>
    </row>
    <row r="20" spans="1:7" ht="12.75" customHeight="1" x14ac:dyDescent="0.2">
      <c r="A20" s="73">
        <f>'E7'!D25</f>
        <v>17809</v>
      </c>
      <c r="B20" s="4">
        <v>840</v>
      </c>
      <c r="C20" s="4">
        <v>20001</v>
      </c>
      <c r="D20" s="6">
        <f>SUM(A20:A20)</f>
        <v>17809</v>
      </c>
      <c r="E20" s="53" t="s">
        <v>11</v>
      </c>
      <c r="F20" s="52" t="s">
        <v>67</v>
      </c>
      <c r="G20" s="43"/>
    </row>
    <row r="21" spans="1:7" ht="12.75" customHeight="1" x14ac:dyDescent="0.2">
      <c r="A21" s="73">
        <f>'E7'!D26</f>
        <v>4995</v>
      </c>
      <c r="B21" s="4">
        <v>840</v>
      </c>
      <c r="C21" s="4">
        <v>21000</v>
      </c>
      <c r="D21" s="6">
        <f>SUM(A21:A21)</f>
        <v>4995</v>
      </c>
      <c r="E21" s="53" t="s">
        <v>6</v>
      </c>
      <c r="F21" s="52" t="s">
        <v>68</v>
      </c>
      <c r="G21" s="4"/>
    </row>
    <row r="22" spans="1:7" ht="12.75" customHeight="1" x14ac:dyDescent="0.2">
      <c r="A22" s="73">
        <f>'E7'!D28</f>
        <v>2660</v>
      </c>
      <c r="B22" s="4">
        <v>840</v>
      </c>
      <c r="C22" s="4">
        <v>23000</v>
      </c>
      <c r="D22" s="6">
        <f>SUM(A22:A22)</f>
        <v>2660</v>
      </c>
      <c r="E22" s="53" t="s">
        <v>6</v>
      </c>
      <c r="F22" s="52" t="s">
        <v>70</v>
      </c>
      <c r="G22" s="43"/>
    </row>
    <row r="23" spans="1:7" ht="12.75" customHeight="1" x14ac:dyDescent="0.2">
      <c r="A23" s="73">
        <f>'E7'!D29</f>
        <v>506</v>
      </c>
      <c r="B23" s="4">
        <v>840</v>
      </c>
      <c r="C23" s="4">
        <v>25010</v>
      </c>
      <c r="D23" s="6">
        <f>SUM(A23:A23)</f>
        <v>506</v>
      </c>
      <c r="E23" s="53" t="s">
        <v>10</v>
      </c>
      <c r="F23" s="52" t="s">
        <v>71</v>
      </c>
      <c r="G23" s="43"/>
    </row>
    <row r="24" spans="1:7" ht="12.75" customHeight="1" x14ac:dyDescent="0.2">
      <c r="A24" s="73">
        <f>'E7'!D31</f>
        <v>523</v>
      </c>
      <c r="B24" s="4">
        <v>840</v>
      </c>
      <c r="C24" s="4">
        <v>26000</v>
      </c>
      <c r="D24" s="6">
        <f>SUM(A24:A24)</f>
        <v>523</v>
      </c>
      <c r="E24" s="53" t="s">
        <v>10</v>
      </c>
      <c r="F24" s="52" t="s">
        <v>73</v>
      </c>
      <c r="G24" s="4"/>
    </row>
    <row r="25" spans="1:7" ht="12.75" customHeight="1" x14ac:dyDescent="0.2">
      <c r="A25" s="73"/>
      <c r="B25" s="4"/>
      <c r="C25" s="4"/>
      <c r="D25" s="6"/>
      <c r="E25" s="53"/>
      <c r="F25" s="52"/>
      <c r="G25" s="4"/>
    </row>
    <row r="26" spans="1:7" ht="12.75" customHeight="1" x14ac:dyDescent="0.2">
      <c r="A26" s="73">
        <f>'E7'!D32</f>
        <v>16763</v>
      </c>
      <c r="B26" s="4">
        <v>840</v>
      </c>
      <c r="C26" s="4">
        <v>26050</v>
      </c>
      <c r="D26" s="6">
        <f>SUM(A26:A26)</f>
        <v>16763</v>
      </c>
      <c r="E26" s="53" t="s">
        <v>11</v>
      </c>
      <c r="F26" s="52" t="s">
        <v>77</v>
      </c>
      <c r="G26" s="4"/>
    </row>
    <row r="27" spans="1:7" ht="13.5" thickBot="1" x14ac:dyDescent="0.25">
      <c r="A27" s="74"/>
      <c r="B27" s="38" t="str">
        <f>IF(VOID!E22=0, "", VOID!E22)</f>
        <v/>
      </c>
      <c r="C27" s="38" t="str">
        <f>IF(VOID!F22=0, "", VOID!F22)</f>
        <v/>
      </c>
      <c r="D27" s="38" t="str">
        <f>IF(VOID!G22=0, "", VOID!G22)</f>
        <v/>
      </c>
      <c r="E27" s="40" t="str">
        <f>IF(VOID!H22=0, "", VOID!H22)</f>
        <v/>
      </c>
      <c r="F27" s="41" t="str">
        <f>IF(VOID!I22=0, "", VOID!I22)</f>
        <v/>
      </c>
      <c r="G27" s="38" t="str">
        <f>IF(VOID!J22=0, "", VOID!J22)</f>
        <v/>
      </c>
    </row>
    <row r="30" spans="1:7" ht="12.75" customHeight="1" x14ac:dyDescent="0.2"/>
    <row r="31" spans="1:7" ht="13.5" customHeight="1" x14ac:dyDescent="0.2"/>
  </sheetData>
  <mergeCells count="8">
    <mergeCell ref="A3:A4"/>
    <mergeCell ref="F3:F4"/>
    <mergeCell ref="B1:F2"/>
    <mergeCell ref="G1:G4"/>
    <mergeCell ref="B3:B4"/>
    <mergeCell ref="E3:E4"/>
    <mergeCell ref="C3:C4"/>
    <mergeCell ref="D3:D4"/>
  </mergeCells>
  <phoneticPr fontId="0" type="noConversion"/>
  <pageMargins left="0.75" right="0.75" top="1" bottom="1" header="0.5" footer="0.5"/>
  <pageSetup paperSize="17" scale="8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zoomScaleNormal="100" workbookViewId="0">
      <selection activeCell="E33" sqref="E33"/>
    </sheetView>
  </sheetViews>
  <sheetFormatPr defaultRowHeight="12.75" x14ac:dyDescent="0.2"/>
  <cols>
    <col min="2" max="4" width="9.140625" style="23"/>
    <col min="5" max="5" width="8.85546875" style="25" bestFit="1" customWidth="1"/>
    <col min="6" max="6" width="9.7109375" style="27" bestFit="1" customWidth="1"/>
    <col min="7" max="7" width="8.5703125" style="27" bestFit="1" customWidth="1"/>
    <col min="8" max="8" width="6.85546875" style="27" bestFit="1" customWidth="1"/>
    <col min="9" max="9" width="84" style="27" bestFit="1" customWidth="1"/>
    <col min="10" max="10" width="9" style="27" bestFit="1" customWidth="1"/>
    <col min="11" max="11" width="9" bestFit="1" customWidth="1"/>
  </cols>
  <sheetData>
    <row r="1" spans="1:16" x14ac:dyDescent="0.2">
      <c r="A1" s="1" t="s">
        <v>53</v>
      </c>
      <c r="B1" s="1" t="s">
        <v>50</v>
      </c>
      <c r="C1" s="1" t="s">
        <v>51</v>
      </c>
      <c r="D1" s="1" t="s">
        <v>52</v>
      </c>
      <c r="E1" s="1" t="s">
        <v>0</v>
      </c>
      <c r="F1" s="1" t="s">
        <v>4</v>
      </c>
      <c r="G1" s="1" t="s">
        <v>1</v>
      </c>
      <c r="H1" s="1" t="s">
        <v>2</v>
      </c>
      <c r="I1" s="1" t="s">
        <v>3</v>
      </c>
      <c r="J1" s="1" t="s">
        <v>5</v>
      </c>
      <c r="K1" s="1"/>
      <c r="L1" s="1" t="s">
        <v>35</v>
      </c>
    </row>
    <row r="2" spans="1:16" x14ac:dyDescent="0.2">
      <c r="A2" s="1" t="s">
        <v>55</v>
      </c>
      <c r="B2" s="1" t="str">
        <f>[1]Calcs!$C$2</f>
        <v>LUMP</v>
      </c>
      <c r="C2" s="1" t="str">
        <f>[2]Calcs!$C$2</f>
        <v>LUMP</v>
      </c>
      <c r="D2" s="1" t="str">
        <f>[3]Calcs!$C$2</f>
        <v>LUMP</v>
      </c>
      <c r="E2" s="1">
        <v>503</v>
      </c>
      <c r="F2" s="3">
        <v>21301</v>
      </c>
      <c r="G2" s="1" t="s">
        <v>8</v>
      </c>
      <c r="H2" s="1"/>
      <c r="I2" s="2" t="s">
        <v>12</v>
      </c>
      <c r="J2" s="1" t="s">
        <v>58</v>
      </c>
      <c r="L2" s="2"/>
    </row>
    <row r="3" spans="1:16" x14ac:dyDescent="0.2">
      <c r="A3" s="1" t="s">
        <v>44</v>
      </c>
      <c r="B3" s="11">
        <f>[1]Calcs!$C$3</f>
        <v>553</v>
      </c>
      <c r="C3" s="11">
        <f>[2]Calcs!$C$3</f>
        <v>1779</v>
      </c>
      <c r="D3" s="1">
        <f>[3]Calcs!$C$3</f>
        <v>14230</v>
      </c>
      <c r="E3" s="1">
        <v>507</v>
      </c>
      <c r="F3" s="8" t="s">
        <v>13</v>
      </c>
      <c r="G3" s="1">
        <f>SUM(A3:D3)</f>
        <v>16562</v>
      </c>
      <c r="H3" s="1" t="s">
        <v>10</v>
      </c>
      <c r="I3" s="2" t="s">
        <v>14</v>
      </c>
      <c r="J3" s="1"/>
      <c r="L3" s="2" t="s">
        <v>31</v>
      </c>
    </row>
    <row r="4" spans="1:16" x14ac:dyDescent="0.2">
      <c r="A4" s="1" t="s">
        <v>44</v>
      </c>
      <c r="B4" s="11">
        <f>[1]Calcs!$C$4</f>
        <v>5514</v>
      </c>
      <c r="C4" s="11">
        <f>[2]Calcs!$C$4</f>
        <v>19557</v>
      </c>
      <c r="D4" s="1">
        <f>[3]Calcs!$C$4</f>
        <v>297098</v>
      </c>
      <c r="E4" s="1">
        <v>509</v>
      </c>
      <c r="F4" s="8" t="s">
        <v>15</v>
      </c>
      <c r="G4" s="1">
        <f t="shared" ref="G4:G21" si="0">SUM(A4:D4)</f>
        <v>322169</v>
      </c>
      <c r="H4" s="1" t="s">
        <v>16</v>
      </c>
      <c r="I4" s="2" t="s">
        <v>17</v>
      </c>
      <c r="J4" s="1"/>
      <c r="L4" s="2" t="s">
        <v>32</v>
      </c>
    </row>
    <row r="5" spans="1:16" x14ac:dyDescent="0.2">
      <c r="A5" s="1" t="s">
        <v>44</v>
      </c>
      <c r="B5" s="11">
        <f>[1]Calcs!$C$5</f>
        <v>69</v>
      </c>
      <c r="C5" s="11">
        <f>[2]Calcs!$C$5</f>
        <v>205</v>
      </c>
      <c r="D5" s="11">
        <f>[3]Calcs!$C$5</f>
        <v>1981</v>
      </c>
      <c r="E5" s="1">
        <v>511</v>
      </c>
      <c r="F5" s="8" t="s">
        <v>49</v>
      </c>
      <c r="G5" s="1">
        <f t="shared" si="0"/>
        <v>2255</v>
      </c>
      <c r="H5" s="1" t="s">
        <v>6</v>
      </c>
      <c r="I5" s="2" t="s">
        <v>36</v>
      </c>
      <c r="J5" s="1"/>
      <c r="L5" s="2" t="s">
        <v>33</v>
      </c>
    </row>
    <row r="6" spans="1:16" x14ac:dyDescent="0.2">
      <c r="A6" s="1" t="s">
        <v>44</v>
      </c>
      <c r="B6" s="11">
        <f>[1]Calcs!$C$6</f>
        <v>65</v>
      </c>
      <c r="C6" s="11">
        <f>[2]Calcs!$C$6</f>
        <v>314</v>
      </c>
      <c r="D6" s="11">
        <f>[3]Calcs!$C$6</f>
        <v>2202</v>
      </c>
      <c r="E6" s="1">
        <v>512</v>
      </c>
      <c r="F6" s="8" t="s">
        <v>18</v>
      </c>
      <c r="G6" s="1">
        <f t="shared" si="0"/>
        <v>2581</v>
      </c>
      <c r="H6" s="1" t="s">
        <v>9</v>
      </c>
      <c r="I6" s="2" t="s">
        <v>19</v>
      </c>
      <c r="J6" s="1" t="s">
        <v>58</v>
      </c>
      <c r="L6" s="2" t="s">
        <v>33</v>
      </c>
    </row>
    <row r="7" spans="1:16" x14ac:dyDescent="0.2">
      <c r="A7" s="1" t="s">
        <v>44</v>
      </c>
      <c r="B7" s="11">
        <f>[1]Calcs!$C$7</f>
        <v>103</v>
      </c>
      <c r="C7" s="11">
        <f>[2]Calcs!$C$7</f>
        <v>398</v>
      </c>
      <c r="D7" s="11">
        <f>[3]Calcs!$C$7</f>
        <v>4745</v>
      </c>
      <c r="E7" s="1">
        <v>512</v>
      </c>
      <c r="F7" s="8" t="s">
        <v>20</v>
      </c>
      <c r="G7" s="1">
        <f t="shared" si="0"/>
        <v>5246</v>
      </c>
      <c r="H7" s="1" t="s">
        <v>9</v>
      </c>
      <c r="I7" s="2" t="s">
        <v>21</v>
      </c>
      <c r="J7" s="1" t="s">
        <v>58</v>
      </c>
      <c r="L7" s="2" t="s">
        <v>33</v>
      </c>
    </row>
    <row r="8" spans="1:16" x14ac:dyDescent="0.2">
      <c r="A8" s="1" t="s">
        <v>44</v>
      </c>
      <c r="B8" s="11">
        <f>[1]Calcs!$C$8</f>
        <v>21</v>
      </c>
      <c r="C8" s="11">
        <f>[2]Calcs!$C$8</f>
        <v>68</v>
      </c>
      <c r="D8" s="11">
        <f>[3]Calcs!$C$8</f>
        <v>774</v>
      </c>
      <c r="E8" s="1">
        <v>512</v>
      </c>
      <c r="F8" s="8" t="s">
        <v>22</v>
      </c>
      <c r="G8" s="1">
        <f t="shared" si="0"/>
        <v>863</v>
      </c>
      <c r="H8" s="1" t="s">
        <v>9</v>
      </c>
      <c r="I8" s="2" t="s">
        <v>23</v>
      </c>
      <c r="J8" s="1" t="s">
        <v>58</v>
      </c>
      <c r="L8" s="2" t="s">
        <v>33</v>
      </c>
      <c r="P8" s="9"/>
    </row>
    <row r="9" spans="1:16" x14ac:dyDescent="0.2">
      <c r="A9" s="1" t="s">
        <v>44</v>
      </c>
      <c r="B9" s="11">
        <f>[1]Calcs!$C$9</f>
        <v>777</v>
      </c>
      <c r="C9" s="11">
        <f>[2]Calcs!$C$9</f>
        <v>204</v>
      </c>
      <c r="D9" s="11">
        <f>[3]Calcs!$C$9</f>
        <v>8649.67</v>
      </c>
      <c r="E9" s="1">
        <v>516</v>
      </c>
      <c r="F9" s="8" t="s">
        <v>24</v>
      </c>
      <c r="G9" s="1">
        <f t="shared" si="0"/>
        <v>9630.67</v>
      </c>
      <c r="H9" s="1" t="s">
        <v>11</v>
      </c>
      <c r="I9" s="2" t="s">
        <v>25</v>
      </c>
      <c r="J9" s="1"/>
      <c r="L9" s="2" t="s">
        <v>33</v>
      </c>
    </row>
    <row r="10" spans="1:16" x14ac:dyDescent="0.2">
      <c r="A10" s="1" t="s">
        <v>44</v>
      </c>
      <c r="B10" s="11">
        <f>[1]Calcs!$C$11</f>
        <v>48</v>
      </c>
      <c r="C10" s="11">
        <f>[2]Calcs!$C$11</f>
        <v>108</v>
      </c>
      <c r="D10" s="1">
        <f>[3]Calcs!$C$11</f>
        <v>668</v>
      </c>
      <c r="E10" s="1">
        <v>518</v>
      </c>
      <c r="F10" s="8" t="s">
        <v>26</v>
      </c>
      <c r="G10" s="1">
        <f t="shared" si="0"/>
        <v>824</v>
      </c>
      <c r="H10" s="1" t="s">
        <v>10</v>
      </c>
      <c r="I10" s="45" t="s">
        <v>59</v>
      </c>
      <c r="J10" s="1"/>
      <c r="L10" s="2" t="s">
        <v>60</v>
      </c>
    </row>
    <row r="11" spans="1:16" x14ac:dyDescent="0.2">
      <c r="A11" s="1" t="s">
        <v>44</v>
      </c>
      <c r="B11" s="11">
        <f>[1]Calcs!$C$12</f>
        <v>357</v>
      </c>
      <c r="C11" s="11"/>
      <c r="E11" s="1">
        <v>524</v>
      </c>
      <c r="F11" s="8" t="s">
        <v>47</v>
      </c>
      <c r="G11" s="1">
        <f t="shared" si="0"/>
        <v>357</v>
      </c>
      <c r="H11" s="1" t="s">
        <v>10</v>
      </c>
      <c r="I11" s="2" t="s">
        <v>48</v>
      </c>
      <c r="J11" s="1" t="s">
        <v>58</v>
      </c>
      <c r="L11" s="2" t="s">
        <v>31</v>
      </c>
    </row>
    <row r="12" spans="1:16" x14ac:dyDescent="0.2">
      <c r="A12" s="1" t="s">
        <v>44</v>
      </c>
      <c r="B12" s="11"/>
      <c r="C12" s="11">
        <f>[2]Calcs!$C$12</f>
        <v>1012</v>
      </c>
      <c r="D12" s="1">
        <f>[3]Calcs!$C$12</f>
        <v>6026</v>
      </c>
      <c r="E12" s="1">
        <v>524</v>
      </c>
      <c r="F12" s="11">
        <v>94603</v>
      </c>
      <c r="G12" s="1">
        <f>SUM(A12:D12)</f>
        <v>7038</v>
      </c>
      <c r="H12" s="1" t="s">
        <v>10</v>
      </c>
      <c r="I12" s="2" t="s">
        <v>54</v>
      </c>
      <c r="J12" s="1" t="s">
        <v>58</v>
      </c>
      <c r="L12" s="2"/>
    </row>
    <row r="13" spans="1:16" x14ac:dyDescent="0.2">
      <c r="A13" s="1" t="s">
        <v>44</v>
      </c>
      <c r="B13" s="11">
        <f>[1]Calcs!$C$13</f>
        <v>286.08999999999997</v>
      </c>
      <c r="C13" s="11">
        <f>[2]Calcs!$C$13</f>
        <v>505.07</v>
      </c>
      <c r="D13" s="1">
        <f>[3]Calcs!$C$13</f>
        <v>2875</v>
      </c>
      <c r="E13" s="1">
        <v>601</v>
      </c>
      <c r="F13" s="11">
        <v>37501</v>
      </c>
      <c r="G13" s="1">
        <f t="shared" si="0"/>
        <v>3666.16</v>
      </c>
      <c r="H13" s="1" t="s">
        <v>10</v>
      </c>
      <c r="I13" s="2" t="s">
        <v>57</v>
      </c>
      <c r="J13" s="1" t="s">
        <v>58</v>
      </c>
      <c r="L13" s="2" t="s">
        <v>34</v>
      </c>
    </row>
    <row r="14" spans="1:16" x14ac:dyDescent="0.2">
      <c r="A14" s="46" t="s">
        <v>44</v>
      </c>
      <c r="B14" s="44">
        <f>[1]Calcs!$C$14</f>
        <v>204</v>
      </c>
      <c r="C14" s="44">
        <f>[2]Calcs!$C$14</f>
        <v>453</v>
      </c>
      <c r="D14" s="46">
        <f>[3]Calcs!$C$14</f>
        <v>644</v>
      </c>
      <c r="E14" s="46">
        <v>611</v>
      </c>
      <c r="F14" s="47">
        <v>1100</v>
      </c>
      <c r="G14" s="46">
        <f>D14</f>
        <v>644</v>
      </c>
      <c r="H14" s="46" t="s">
        <v>10</v>
      </c>
      <c r="I14" s="45" t="s">
        <v>27</v>
      </c>
      <c r="J14" s="46"/>
      <c r="K14" s="48"/>
      <c r="L14" s="45" t="s">
        <v>34</v>
      </c>
    </row>
    <row r="15" spans="1:16" x14ac:dyDescent="0.2">
      <c r="A15" s="1" t="s">
        <v>44</v>
      </c>
      <c r="B15" s="1"/>
      <c r="C15" s="1"/>
      <c r="D15" s="1">
        <f>[3]Calcs!$C$16</f>
        <v>8949.6000000000022</v>
      </c>
      <c r="E15" s="1" t="s">
        <v>7</v>
      </c>
      <c r="F15" s="10" t="s">
        <v>45</v>
      </c>
      <c r="G15" s="1">
        <f>SUM(A15:D15)</f>
        <v>8949.6000000000022</v>
      </c>
      <c r="H15" s="1" t="s">
        <v>37</v>
      </c>
      <c r="I15" s="2" t="s">
        <v>38</v>
      </c>
      <c r="J15" s="1" t="s">
        <v>58</v>
      </c>
    </row>
    <row r="16" spans="1:16" x14ac:dyDescent="0.2">
      <c r="A16" s="1" t="s">
        <v>44</v>
      </c>
      <c r="B16" s="1"/>
      <c r="C16" s="1"/>
      <c r="D16" s="1">
        <f>[3]Calcs!$C$17</f>
        <v>49169</v>
      </c>
      <c r="E16" s="1" t="s">
        <v>7</v>
      </c>
      <c r="F16" s="10" t="s">
        <v>45</v>
      </c>
      <c r="G16" s="1">
        <f t="shared" si="0"/>
        <v>49169</v>
      </c>
      <c r="H16" s="1" t="s">
        <v>37</v>
      </c>
      <c r="I16" s="2" t="s">
        <v>39</v>
      </c>
      <c r="J16" s="1"/>
    </row>
    <row r="17" spans="1:12" x14ac:dyDescent="0.2">
      <c r="A17" s="1" t="s">
        <v>44</v>
      </c>
      <c r="B17" s="1"/>
      <c r="C17" s="1"/>
      <c r="D17" s="1">
        <f>[3]Calcs!$C$18</f>
        <v>11</v>
      </c>
      <c r="E17" s="1" t="s">
        <v>7</v>
      </c>
      <c r="F17" s="10" t="s">
        <v>45</v>
      </c>
      <c r="G17" s="1">
        <f t="shared" si="0"/>
        <v>11</v>
      </c>
      <c r="H17" s="1" t="s">
        <v>37</v>
      </c>
      <c r="I17" s="2" t="s">
        <v>40</v>
      </c>
      <c r="J17" s="1"/>
      <c r="L17" s="2"/>
    </row>
    <row r="18" spans="1:12" x14ac:dyDescent="0.2">
      <c r="A18" s="1" t="s">
        <v>44</v>
      </c>
      <c r="B18" s="1"/>
      <c r="C18" s="1"/>
      <c r="D18" s="1">
        <f>[3]Calcs!$C$19</f>
        <v>264</v>
      </c>
      <c r="E18" s="1" t="s">
        <v>7</v>
      </c>
      <c r="F18" s="10" t="s">
        <v>45</v>
      </c>
      <c r="G18" s="1">
        <f t="shared" si="0"/>
        <v>264</v>
      </c>
      <c r="H18" s="1" t="s">
        <v>37</v>
      </c>
      <c r="I18" s="2" t="s">
        <v>41</v>
      </c>
      <c r="J18" s="1"/>
      <c r="L18" s="2"/>
    </row>
    <row r="19" spans="1:12" x14ac:dyDescent="0.2">
      <c r="A19" s="1" t="s">
        <v>44</v>
      </c>
      <c r="B19" s="1"/>
      <c r="C19" s="1"/>
      <c r="D19" s="11">
        <f>[3]Calcs!$C$20</f>
        <v>243</v>
      </c>
      <c r="E19" s="1" t="s">
        <v>7</v>
      </c>
      <c r="F19" s="10" t="s">
        <v>45</v>
      </c>
      <c r="G19" s="1">
        <f t="shared" si="0"/>
        <v>243</v>
      </c>
      <c r="H19" s="1" t="s">
        <v>37</v>
      </c>
      <c r="I19" s="2" t="s">
        <v>42</v>
      </c>
      <c r="J19" s="1"/>
      <c r="L19" s="2"/>
    </row>
    <row r="20" spans="1:12" x14ac:dyDescent="0.2">
      <c r="A20" s="1" t="s">
        <v>44</v>
      </c>
      <c r="B20" s="11">
        <f>[1]Calcs!$C$15</f>
        <v>243.2</v>
      </c>
      <c r="C20" s="11">
        <f>[2]Calcs!$C$15</f>
        <v>756</v>
      </c>
      <c r="D20" s="11">
        <f>[3]Calcs!$C$21</f>
        <v>9</v>
      </c>
      <c r="E20" s="1" t="s">
        <v>7</v>
      </c>
      <c r="F20" s="3" t="s">
        <v>46</v>
      </c>
      <c r="G20" s="1">
        <f t="shared" si="0"/>
        <v>1008.2</v>
      </c>
      <c r="H20" s="1" t="s">
        <v>11</v>
      </c>
      <c r="I20" s="2" t="s">
        <v>43</v>
      </c>
      <c r="J20" s="1"/>
      <c r="L20" s="2" t="s">
        <v>33</v>
      </c>
    </row>
    <row r="21" spans="1:12" x14ac:dyDescent="0.2">
      <c r="A21" s="1" t="s">
        <v>44</v>
      </c>
      <c r="B21" s="11">
        <f>[1]Calcs!$C$16</f>
        <v>1545</v>
      </c>
      <c r="C21" s="11">
        <f>[2]Calcs!$C$16</f>
        <v>4802</v>
      </c>
      <c r="D21" s="11">
        <f>[3]Calcs!$C$22</f>
        <v>76</v>
      </c>
      <c r="E21" s="1" t="s">
        <v>7</v>
      </c>
      <c r="F21" s="3" t="s">
        <v>46</v>
      </c>
      <c r="G21" s="1">
        <f t="shared" si="0"/>
        <v>6423</v>
      </c>
      <c r="H21" s="1" t="s">
        <v>11</v>
      </c>
      <c r="I21" s="2" t="s">
        <v>28</v>
      </c>
      <c r="J21" s="1"/>
      <c r="L21" s="2" t="s">
        <v>33</v>
      </c>
    </row>
    <row r="22" spans="1:12" x14ac:dyDescent="0.2">
      <c r="B22" s="1"/>
      <c r="C22" s="1"/>
      <c r="D22" s="1"/>
      <c r="E22" s="1"/>
      <c r="F22" s="22"/>
      <c r="G22" s="1"/>
      <c r="H22" s="1"/>
      <c r="I22" s="2"/>
      <c r="J22" s="1"/>
      <c r="L22" s="2"/>
    </row>
    <row r="23" spans="1:12" x14ac:dyDescent="0.2">
      <c r="B23" s="1"/>
      <c r="C23" s="1"/>
      <c r="D23" s="1"/>
      <c r="E23" s="1"/>
      <c r="F23" s="3"/>
      <c r="G23" s="1"/>
      <c r="H23" s="1"/>
      <c r="I23" s="2"/>
      <c r="J23" s="1"/>
      <c r="L23" s="2"/>
    </row>
    <row r="24" spans="1:12" x14ac:dyDescent="0.2">
      <c r="B24" s="35" t="s">
        <v>56</v>
      </c>
      <c r="E24" s="23"/>
      <c r="F24" s="24"/>
      <c r="G24" s="23"/>
      <c r="H24" s="23"/>
      <c r="I24" s="25"/>
      <c r="J24" s="23"/>
      <c r="L24" s="2"/>
    </row>
    <row r="25" spans="1:12" x14ac:dyDescent="0.2">
      <c r="E25" s="23"/>
      <c r="F25" s="24"/>
      <c r="G25" s="23"/>
      <c r="H25" s="23"/>
      <c r="I25" s="25"/>
      <c r="J25" s="23"/>
      <c r="L25" s="2"/>
    </row>
    <row r="27" spans="1:12" x14ac:dyDescent="0.2">
      <c r="E27" s="26"/>
      <c r="F27" s="23"/>
      <c r="G27" s="23"/>
      <c r="H27" s="23"/>
      <c r="I27" s="23"/>
    </row>
    <row r="28" spans="1:12" x14ac:dyDescent="0.2">
      <c r="E28" s="28"/>
      <c r="F28" s="25"/>
      <c r="G28" s="25"/>
      <c r="H28" s="29"/>
      <c r="I28" s="23"/>
    </row>
    <row r="29" spans="1:12" x14ac:dyDescent="0.2">
      <c r="E29" s="28"/>
      <c r="F29" s="25"/>
      <c r="G29" s="25"/>
      <c r="H29" s="30"/>
    </row>
    <row r="30" spans="1:12" x14ac:dyDescent="0.2">
      <c r="E30" s="28"/>
      <c r="F30" s="25"/>
      <c r="G30" s="25"/>
    </row>
    <row r="31" spans="1:12" x14ac:dyDescent="0.2">
      <c r="E31" s="31"/>
      <c r="F31" s="25"/>
    </row>
    <row r="33" spans="5:9" x14ac:dyDescent="0.2">
      <c r="E33" s="26"/>
    </row>
    <row r="35" spans="5:9" x14ac:dyDescent="0.2">
      <c r="E35" s="32"/>
      <c r="F35" s="30"/>
      <c r="G35" s="30"/>
    </row>
    <row r="36" spans="5:9" x14ac:dyDescent="0.2">
      <c r="E36" s="32"/>
      <c r="F36" s="30"/>
      <c r="G36" s="30"/>
    </row>
    <row r="37" spans="5:9" x14ac:dyDescent="0.2">
      <c r="E37" s="32"/>
      <c r="F37" s="30"/>
      <c r="G37" s="30"/>
    </row>
    <row r="38" spans="5:9" x14ac:dyDescent="0.2">
      <c r="E38" s="29"/>
      <c r="F38" s="30"/>
      <c r="G38" s="31"/>
      <c r="H38" s="30"/>
    </row>
    <row r="39" spans="5:9" x14ac:dyDescent="0.2">
      <c r="E39" s="29"/>
      <c r="F39" s="30"/>
      <c r="G39" s="31"/>
      <c r="H39" s="30"/>
    </row>
    <row r="41" spans="5:9" x14ac:dyDescent="0.2">
      <c r="E41" s="26"/>
    </row>
    <row r="43" spans="5:9" x14ac:dyDescent="0.2">
      <c r="E43" s="33"/>
      <c r="F43" s="30"/>
      <c r="G43" s="30"/>
    </row>
    <row r="44" spans="5:9" x14ac:dyDescent="0.2">
      <c r="E44" s="31"/>
      <c r="F44" s="30"/>
    </row>
    <row r="45" spans="5:9" x14ac:dyDescent="0.2">
      <c r="E45" s="26"/>
    </row>
    <row r="46" spans="5:9" x14ac:dyDescent="0.2">
      <c r="E46" s="29"/>
    </row>
    <row r="47" spans="5:9" x14ac:dyDescent="0.2">
      <c r="E47" s="29"/>
      <c r="G47" s="30"/>
      <c r="I47" s="30"/>
    </row>
    <row r="48" spans="5:9" x14ac:dyDescent="0.2">
      <c r="E48" s="29"/>
      <c r="G48" s="30"/>
      <c r="I48" s="30"/>
    </row>
    <row r="49" spans="5:9" x14ac:dyDescent="0.2">
      <c r="E49" s="12"/>
      <c r="F49" s="19"/>
      <c r="G49" s="19"/>
      <c r="H49" s="19"/>
      <c r="I49" s="19"/>
    </row>
    <row r="50" spans="5:9" x14ac:dyDescent="0.2">
      <c r="E50" s="12"/>
      <c r="F50" s="13"/>
      <c r="G50" s="14"/>
      <c r="H50" s="13"/>
      <c r="I50" s="15"/>
    </row>
    <row r="51" spans="5:9" x14ac:dyDescent="0.2">
      <c r="E51" s="15"/>
      <c r="F51" s="16"/>
      <c r="G51" s="14"/>
      <c r="H51" s="13"/>
      <c r="I51" s="15"/>
    </row>
    <row r="52" spans="5:9" x14ac:dyDescent="0.2">
      <c r="E52" s="12"/>
      <c r="F52" s="17"/>
      <c r="G52" s="14"/>
      <c r="H52" s="13"/>
      <c r="I52" s="18"/>
    </row>
    <row r="53" spans="5:9" x14ac:dyDescent="0.2">
      <c r="E53" s="12"/>
      <c r="F53" s="17"/>
      <c r="G53" s="14"/>
      <c r="H53" s="13"/>
      <c r="I53" s="18"/>
    </row>
    <row r="54" spans="5:9" x14ac:dyDescent="0.2">
      <c r="E54" s="18"/>
      <c r="F54" s="19"/>
      <c r="G54" s="21"/>
      <c r="H54" s="20"/>
      <c r="I54" s="15"/>
    </row>
    <row r="55" spans="5:9" x14ac:dyDescent="0.2">
      <c r="E55" s="18"/>
      <c r="F55" s="19"/>
      <c r="G55" s="14"/>
      <c r="H55" s="20"/>
      <c r="I55" s="15"/>
    </row>
    <row r="56" spans="5:9" x14ac:dyDescent="0.2">
      <c r="E56" s="12"/>
      <c r="F56" s="12"/>
      <c r="G56" s="12"/>
      <c r="H56" s="12"/>
      <c r="I56" s="12"/>
    </row>
    <row r="57" spans="5:9" x14ac:dyDescent="0.2">
      <c r="E57" s="12"/>
      <c r="F57" s="13"/>
      <c r="G57" s="14"/>
      <c r="H57" s="13"/>
      <c r="I57" s="15"/>
    </row>
    <row r="58" spans="5:9" x14ac:dyDescent="0.2">
      <c r="E58" s="15"/>
      <c r="F58" s="16"/>
      <c r="G58" s="14"/>
      <c r="H58" s="13"/>
      <c r="I58" s="15"/>
    </row>
    <row r="59" spans="5:9" x14ac:dyDescent="0.2">
      <c r="E59" s="12"/>
      <c r="F59" s="17"/>
      <c r="G59" s="14"/>
      <c r="H59" s="13"/>
      <c r="I59" s="18"/>
    </row>
    <row r="60" spans="5:9" x14ac:dyDescent="0.2">
      <c r="E60" s="18"/>
      <c r="F60" s="19"/>
      <c r="G60" s="21"/>
      <c r="H60" s="20"/>
      <c r="I60" s="15"/>
    </row>
    <row r="61" spans="5:9" x14ac:dyDescent="0.2">
      <c r="E61" s="18"/>
      <c r="F61" s="17"/>
      <c r="G61" s="14"/>
      <c r="H61" s="20"/>
      <c r="I61" s="15"/>
    </row>
    <row r="62" spans="5:9" x14ac:dyDescent="0.2">
      <c r="E62" s="12"/>
      <c r="F62" s="12"/>
      <c r="G62" s="12"/>
      <c r="H62" s="12"/>
      <c r="I62" s="12"/>
    </row>
    <row r="63" spans="5:9" x14ac:dyDescent="0.2">
      <c r="E63" s="12"/>
      <c r="F63" s="13"/>
      <c r="G63" s="14"/>
      <c r="H63" s="13"/>
      <c r="I63" s="15"/>
    </row>
    <row r="64" spans="5:9" x14ac:dyDescent="0.2">
      <c r="E64" s="15"/>
      <c r="F64" s="16"/>
      <c r="G64" s="14"/>
      <c r="H64" s="13"/>
      <c r="I64" s="15"/>
    </row>
    <row r="65" spans="5:9" x14ac:dyDescent="0.2">
      <c r="E65" s="12"/>
      <c r="F65" s="17"/>
      <c r="G65" s="14"/>
      <c r="H65" s="13"/>
      <c r="I65" s="18"/>
    </row>
    <row r="66" spans="5:9" x14ac:dyDescent="0.2">
      <c r="E66" s="12"/>
      <c r="F66" s="17"/>
      <c r="G66" s="14"/>
      <c r="H66" s="13"/>
      <c r="I66" s="18"/>
    </row>
    <row r="67" spans="5:9" x14ac:dyDescent="0.2">
      <c r="E67" s="18"/>
      <c r="F67" s="19"/>
      <c r="G67" s="21"/>
      <c r="H67" s="20"/>
      <c r="I67" s="15"/>
    </row>
    <row r="68" spans="5:9" x14ac:dyDescent="0.2">
      <c r="E68" s="29"/>
      <c r="G68" s="34"/>
      <c r="H68" s="20"/>
      <c r="I68" s="30"/>
    </row>
    <row r="69" spans="5:9" x14ac:dyDescent="0.2">
      <c r="E69" s="33"/>
      <c r="F69" s="30"/>
      <c r="G69" s="30"/>
    </row>
    <row r="70" spans="5:9" x14ac:dyDescent="0.2">
      <c r="E70" s="12"/>
      <c r="F70" s="12"/>
      <c r="G70" s="12"/>
      <c r="H70" s="12"/>
      <c r="I70" s="12"/>
    </row>
    <row r="71" spans="5:9" x14ac:dyDescent="0.2">
      <c r="E71" s="12"/>
      <c r="F71" s="13"/>
      <c r="G71" s="14"/>
      <c r="H71" s="13"/>
      <c r="I71" s="15"/>
    </row>
    <row r="72" spans="5:9" x14ac:dyDescent="0.2">
      <c r="E72" s="15"/>
      <c r="F72" s="16"/>
      <c r="G72" s="14"/>
      <c r="H72" s="13"/>
      <c r="I72" s="15"/>
    </row>
    <row r="73" spans="5:9" x14ac:dyDescent="0.2">
      <c r="E73" s="12"/>
      <c r="F73" s="17"/>
      <c r="G73" s="14"/>
      <c r="H73" s="13"/>
      <c r="I73" s="18"/>
    </row>
    <row r="74" spans="5:9" x14ac:dyDescent="0.2">
      <c r="E74" s="12"/>
      <c r="F74" s="17"/>
      <c r="G74" s="14"/>
      <c r="H74" s="13"/>
      <c r="I74" s="18"/>
    </row>
    <row r="75" spans="5:9" x14ac:dyDescent="0.2">
      <c r="E75" s="18"/>
      <c r="F75" s="19"/>
      <c r="G75" s="21"/>
      <c r="H75" s="20"/>
      <c r="I75" s="15"/>
    </row>
    <row r="76" spans="5:9" x14ac:dyDescent="0.2">
      <c r="E76" s="29"/>
      <c r="G76" s="34"/>
      <c r="H76" s="20"/>
      <c r="I76" s="3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8"/>
  <sheetViews>
    <sheetView tabSelected="1" topLeftCell="A339" zoomScaleNormal="100" workbookViewId="0">
      <selection activeCell="C375" sqref="C375"/>
    </sheetView>
  </sheetViews>
  <sheetFormatPr defaultRowHeight="12.75" x14ac:dyDescent="0.2"/>
  <cols>
    <col min="1" max="1" width="10.140625" style="1" bestFit="1" customWidth="1"/>
    <col min="2" max="3" width="13.85546875" style="1" bestFit="1" customWidth="1"/>
    <col min="4" max="4" width="8.85546875" style="1" bestFit="1" customWidth="1"/>
    <col min="5" max="5" width="7.140625" style="1" bestFit="1" customWidth="1"/>
    <col min="6" max="6" width="88.7109375" style="1" bestFit="1" customWidth="1"/>
    <col min="7" max="7" width="18.5703125" style="1" bestFit="1" customWidth="1"/>
    <col min="8" max="8" width="8.85546875" style="1" customWidth="1"/>
    <col min="9" max="12" width="9.140625" style="1"/>
    <col min="13" max="15" width="9" style="1" customWidth="1"/>
    <col min="16" max="16384" width="9.140625" style="1"/>
  </cols>
  <sheetData>
    <row r="1" spans="1:7" ht="12.75" customHeight="1" x14ac:dyDescent="0.2">
      <c r="A1" s="70"/>
      <c r="B1" s="124" t="s">
        <v>29</v>
      </c>
      <c r="C1" s="125"/>
      <c r="D1" s="125"/>
      <c r="E1" s="125"/>
      <c r="F1" s="126"/>
      <c r="G1" s="130" t="s">
        <v>30</v>
      </c>
    </row>
    <row r="2" spans="1:7" ht="12.75" customHeight="1" thickBot="1" x14ac:dyDescent="0.25">
      <c r="A2" s="71"/>
      <c r="B2" s="127"/>
      <c r="C2" s="128"/>
      <c r="D2" s="128"/>
      <c r="E2" s="128"/>
      <c r="F2" s="129"/>
      <c r="G2" s="131"/>
    </row>
    <row r="3" spans="1:7" ht="12.75" customHeight="1" x14ac:dyDescent="0.2">
      <c r="A3" s="144"/>
      <c r="B3" s="137" t="s">
        <v>0</v>
      </c>
      <c r="C3" s="146" t="s">
        <v>4</v>
      </c>
      <c r="D3" s="147" t="s">
        <v>1</v>
      </c>
      <c r="E3" s="138" t="s">
        <v>2</v>
      </c>
      <c r="F3" s="133" t="s">
        <v>3</v>
      </c>
      <c r="G3" s="131"/>
    </row>
    <row r="4" spans="1:7" ht="24" customHeight="1" thickBot="1" x14ac:dyDescent="0.25">
      <c r="A4" s="145"/>
      <c r="B4" s="134"/>
      <c r="C4" s="139"/>
      <c r="D4" s="145"/>
      <c r="E4" s="139"/>
      <c r="F4" s="134"/>
      <c r="G4" s="132"/>
    </row>
    <row r="5" spans="1:7" x14ac:dyDescent="0.2">
      <c r="A5" s="6">
        <f>C154</f>
        <v>9684</v>
      </c>
      <c r="B5" s="6">
        <v>203</v>
      </c>
      <c r="C5" s="108" t="s">
        <v>121</v>
      </c>
      <c r="D5" s="85">
        <f>C154</f>
        <v>9684</v>
      </c>
      <c r="E5" s="82" t="s">
        <v>6</v>
      </c>
      <c r="F5" s="49" t="s">
        <v>122</v>
      </c>
      <c r="G5" s="51"/>
    </row>
    <row r="6" spans="1:7" x14ac:dyDescent="0.2">
      <c r="A6" s="6"/>
      <c r="B6" s="6">
        <v>203</v>
      </c>
      <c r="C6" s="108" t="s">
        <v>121</v>
      </c>
      <c r="D6" s="85">
        <f>C178</f>
        <v>451</v>
      </c>
      <c r="E6" s="82" t="s">
        <v>6</v>
      </c>
      <c r="F6" s="49" t="s">
        <v>123</v>
      </c>
      <c r="G6" s="51"/>
    </row>
    <row r="7" spans="1:7" x14ac:dyDescent="0.2">
      <c r="A7" s="6"/>
      <c r="B7" s="6">
        <v>203</v>
      </c>
      <c r="C7" s="113">
        <v>20000</v>
      </c>
      <c r="D7" s="85">
        <f>C37</f>
        <v>436</v>
      </c>
      <c r="E7" s="82" t="s">
        <v>6</v>
      </c>
      <c r="F7" s="49" t="s">
        <v>62</v>
      </c>
      <c r="G7" s="51"/>
    </row>
    <row r="8" spans="1:7" x14ac:dyDescent="0.2">
      <c r="A8" s="6">
        <f>C73</f>
        <v>935</v>
      </c>
      <c r="B8" s="6">
        <v>203</v>
      </c>
      <c r="C8" s="36">
        <v>35110</v>
      </c>
      <c r="D8" s="85">
        <f>C73</f>
        <v>935</v>
      </c>
      <c r="E8" s="82" t="s">
        <v>6</v>
      </c>
      <c r="F8" s="49" t="s">
        <v>63</v>
      </c>
      <c r="G8" s="51"/>
    </row>
    <row r="9" spans="1:7" x14ac:dyDescent="0.2">
      <c r="A9" s="6">
        <f>C94</f>
        <v>456</v>
      </c>
      <c r="B9" s="6">
        <v>203</v>
      </c>
      <c r="C9" s="36">
        <v>35120</v>
      </c>
      <c r="D9" s="85">
        <f>C94</f>
        <v>456</v>
      </c>
      <c r="E9" s="82" t="s">
        <v>6</v>
      </c>
      <c r="F9" s="49" t="s">
        <v>64</v>
      </c>
      <c r="G9" s="51"/>
    </row>
    <row r="10" spans="1:7" x14ac:dyDescent="0.2">
      <c r="A10" s="6">
        <v>2</v>
      </c>
      <c r="B10" s="42">
        <v>203</v>
      </c>
      <c r="C10" s="36">
        <v>65000</v>
      </c>
      <c r="D10" s="85">
        <f>A10</f>
        <v>2</v>
      </c>
      <c r="E10" s="82" t="s">
        <v>37</v>
      </c>
      <c r="F10" s="49" t="s">
        <v>65</v>
      </c>
      <c r="G10" s="81"/>
    </row>
    <row r="11" spans="1:7" x14ac:dyDescent="0.2">
      <c r="A11" s="6"/>
      <c r="B11" s="42"/>
      <c r="C11" s="36"/>
      <c r="D11" s="85"/>
      <c r="E11" s="82"/>
      <c r="F11" s="49"/>
      <c r="G11" s="51"/>
    </row>
    <row r="12" spans="1:7" x14ac:dyDescent="0.2">
      <c r="A12" s="6">
        <f>C134</f>
        <v>4687</v>
      </c>
      <c r="B12" s="6">
        <v>203</v>
      </c>
      <c r="C12" s="36">
        <v>98000</v>
      </c>
      <c r="D12" s="85">
        <f>C134</f>
        <v>4687</v>
      </c>
      <c r="E12" s="82" t="s">
        <v>6</v>
      </c>
      <c r="F12" s="49" t="s">
        <v>80</v>
      </c>
      <c r="G12" s="51"/>
    </row>
    <row r="13" spans="1:7" x14ac:dyDescent="0.2">
      <c r="A13" s="6"/>
      <c r="B13" s="42">
        <v>503</v>
      </c>
      <c r="C13" s="36">
        <v>11101</v>
      </c>
      <c r="D13" s="85" t="s">
        <v>76</v>
      </c>
      <c r="E13" s="82" t="s">
        <v>76</v>
      </c>
      <c r="F13" s="49" t="s">
        <v>126</v>
      </c>
      <c r="G13" s="51"/>
    </row>
    <row r="14" spans="1:7" x14ac:dyDescent="0.2">
      <c r="A14" s="42">
        <f>C355</f>
        <v>31202</v>
      </c>
      <c r="B14" s="42">
        <v>509</v>
      </c>
      <c r="C14" s="51">
        <v>10000</v>
      </c>
      <c r="D14" s="85">
        <f>C355</f>
        <v>31202</v>
      </c>
      <c r="E14" s="82" t="s">
        <v>16</v>
      </c>
      <c r="F14" s="49" t="s">
        <v>17</v>
      </c>
      <c r="G14" s="51"/>
    </row>
    <row r="15" spans="1:7" ht="12.75" customHeight="1" x14ac:dyDescent="0.2">
      <c r="A15" s="4">
        <f>C348</f>
        <v>199</v>
      </c>
      <c r="B15" s="4">
        <f>IF(VOID!E5=0, "", VOID!E5)</f>
        <v>511</v>
      </c>
      <c r="C15" s="37">
        <v>53012</v>
      </c>
      <c r="D15" s="85">
        <f>C348</f>
        <v>199</v>
      </c>
      <c r="E15" s="83" t="str">
        <f>IF(VOID!H5=0, "", VOID!H5)</f>
        <v>CU YD</v>
      </c>
      <c r="F15" s="52" t="s">
        <v>109</v>
      </c>
      <c r="G15" s="81"/>
    </row>
    <row r="16" spans="1:7" x14ac:dyDescent="0.2">
      <c r="A16" s="4">
        <f>C328</f>
        <v>110</v>
      </c>
      <c r="B16" s="4">
        <v>511</v>
      </c>
      <c r="C16" s="37">
        <v>53012</v>
      </c>
      <c r="D16" s="85">
        <f>C328</f>
        <v>110</v>
      </c>
      <c r="E16" s="84" t="s">
        <v>6</v>
      </c>
      <c r="F16" s="52" t="s">
        <v>103</v>
      </c>
      <c r="G16" s="81"/>
    </row>
    <row r="17" spans="1:7" x14ac:dyDescent="0.2">
      <c r="A17" s="4"/>
      <c r="B17" s="4">
        <v>511</v>
      </c>
      <c r="C17" s="37">
        <v>71200</v>
      </c>
      <c r="D17" s="85">
        <f>C198</f>
        <v>5058</v>
      </c>
      <c r="E17" s="84" t="s">
        <v>11</v>
      </c>
      <c r="F17" s="52" t="s">
        <v>81</v>
      </c>
      <c r="G17" s="81"/>
    </row>
    <row r="18" spans="1:7" x14ac:dyDescent="0.2">
      <c r="A18" s="4"/>
      <c r="B18" s="4"/>
      <c r="C18" s="37"/>
      <c r="D18" s="85"/>
      <c r="E18" s="84"/>
      <c r="F18" s="52"/>
      <c r="G18" s="81"/>
    </row>
    <row r="19" spans="1:7" x14ac:dyDescent="0.2">
      <c r="A19" s="4"/>
      <c r="B19" s="4">
        <v>511</v>
      </c>
      <c r="C19" s="37">
        <v>81100</v>
      </c>
      <c r="D19" s="85">
        <f>C203</f>
        <v>121</v>
      </c>
      <c r="E19" s="84" t="s">
        <v>10</v>
      </c>
      <c r="F19" s="52" t="s">
        <v>181</v>
      </c>
      <c r="G19" s="81"/>
    </row>
    <row r="20" spans="1:7" ht="12.75" customHeight="1" x14ac:dyDescent="0.2">
      <c r="A20" s="4">
        <f>C221</f>
        <v>2080</v>
      </c>
      <c r="B20" s="4">
        <f>IF(VOID!E7=0, "", VOID!E7)</f>
        <v>512</v>
      </c>
      <c r="C20" s="37">
        <v>10100</v>
      </c>
      <c r="D20" s="85">
        <f>C221</f>
        <v>2080</v>
      </c>
      <c r="E20" s="83" t="str">
        <f>IF(VOID!H7=0, "", VOID!H7)</f>
        <v>SQ YD</v>
      </c>
      <c r="F20" s="52" t="s">
        <v>79</v>
      </c>
      <c r="G20" s="81"/>
    </row>
    <row r="21" spans="1:7" ht="12.75" customHeight="1" x14ac:dyDescent="0.2">
      <c r="A21" s="43"/>
      <c r="B21" s="43">
        <v>516</v>
      </c>
      <c r="C21" s="81">
        <v>13200</v>
      </c>
      <c r="D21" s="85">
        <f>C359</f>
        <v>76</v>
      </c>
      <c r="E21" s="84" t="s">
        <v>11</v>
      </c>
      <c r="F21" s="52" t="s">
        <v>110</v>
      </c>
      <c r="G21" s="81"/>
    </row>
    <row r="22" spans="1:7" ht="12.75" customHeight="1" x14ac:dyDescent="0.2">
      <c r="A22" s="43"/>
      <c r="B22" s="43">
        <v>516</v>
      </c>
      <c r="C22" s="81">
        <v>13900</v>
      </c>
      <c r="D22" s="85">
        <f>C366</f>
        <v>857</v>
      </c>
      <c r="E22" s="84" t="s">
        <v>11</v>
      </c>
      <c r="F22" s="52" t="s">
        <v>112</v>
      </c>
      <c r="G22" s="81"/>
    </row>
    <row r="23" spans="1:7" ht="12.75" customHeight="1" x14ac:dyDescent="0.2">
      <c r="A23" s="43"/>
      <c r="B23" s="43">
        <v>607</v>
      </c>
      <c r="C23" s="81">
        <v>39901</v>
      </c>
      <c r="D23" s="85">
        <f>C373</f>
        <v>363</v>
      </c>
      <c r="E23" s="84" t="s">
        <v>10</v>
      </c>
      <c r="F23" s="52" t="s">
        <v>175</v>
      </c>
      <c r="G23" s="81"/>
    </row>
    <row r="24" spans="1:7" ht="12.75" customHeight="1" x14ac:dyDescent="0.2">
      <c r="A24" s="43"/>
      <c r="B24" s="43"/>
      <c r="C24" s="81"/>
      <c r="D24" s="85"/>
      <c r="E24" s="84"/>
      <c r="F24" s="52"/>
      <c r="G24" s="81"/>
    </row>
    <row r="25" spans="1:7" ht="12.75" customHeight="1" x14ac:dyDescent="0.2">
      <c r="A25" s="4">
        <f>C237</f>
        <v>17809</v>
      </c>
      <c r="B25" s="4">
        <v>840</v>
      </c>
      <c r="C25" s="37">
        <v>20001</v>
      </c>
      <c r="D25" s="85">
        <f>C237</f>
        <v>17809</v>
      </c>
      <c r="E25" s="84" t="s">
        <v>11</v>
      </c>
      <c r="F25" s="52" t="s">
        <v>67</v>
      </c>
      <c r="G25" s="81" t="s">
        <v>127</v>
      </c>
    </row>
    <row r="26" spans="1:7" ht="12.75" customHeight="1" x14ac:dyDescent="0.2">
      <c r="A26" s="43">
        <f>C241</f>
        <v>4995</v>
      </c>
      <c r="B26" s="4">
        <v>840</v>
      </c>
      <c r="C26" s="37">
        <v>21000</v>
      </c>
      <c r="D26" s="85">
        <f>C241</f>
        <v>4995</v>
      </c>
      <c r="E26" s="84" t="s">
        <v>6</v>
      </c>
      <c r="F26" s="52" t="s">
        <v>68</v>
      </c>
      <c r="G26" s="37"/>
    </row>
    <row r="27" spans="1:7" ht="12.75" customHeight="1" x14ac:dyDescent="0.2">
      <c r="A27" s="43"/>
      <c r="B27" s="4">
        <v>840</v>
      </c>
      <c r="C27" s="37">
        <v>22000</v>
      </c>
      <c r="D27" s="85">
        <f>C277</f>
        <v>1485</v>
      </c>
      <c r="E27" s="84" t="s">
        <v>9</v>
      </c>
      <c r="F27" s="52" t="s">
        <v>69</v>
      </c>
      <c r="G27" s="37"/>
    </row>
    <row r="28" spans="1:7" ht="12.75" customHeight="1" x14ac:dyDescent="0.2">
      <c r="A28" s="4">
        <f>C282</f>
        <v>2660</v>
      </c>
      <c r="B28" s="4">
        <v>840</v>
      </c>
      <c r="C28" s="37">
        <v>23000</v>
      </c>
      <c r="D28" s="85">
        <f>C282</f>
        <v>2660</v>
      </c>
      <c r="E28" s="84" t="s">
        <v>6</v>
      </c>
      <c r="F28" s="52" t="s">
        <v>70</v>
      </c>
      <c r="G28" s="81"/>
    </row>
    <row r="29" spans="1:7" ht="12.75" customHeight="1" x14ac:dyDescent="0.2">
      <c r="A29" s="4">
        <f>C305</f>
        <v>506</v>
      </c>
      <c r="B29" s="4">
        <v>840</v>
      </c>
      <c r="C29" s="37">
        <v>25010</v>
      </c>
      <c r="D29" s="85">
        <f>C305</f>
        <v>506</v>
      </c>
      <c r="E29" s="84" t="s">
        <v>10</v>
      </c>
      <c r="F29" s="52" t="s">
        <v>71</v>
      </c>
      <c r="G29" s="81"/>
    </row>
    <row r="30" spans="1:7" ht="12.75" customHeight="1" x14ac:dyDescent="0.2">
      <c r="A30" s="4"/>
      <c r="B30" s="4"/>
      <c r="C30" s="37"/>
      <c r="D30" s="85"/>
      <c r="E30" s="84"/>
      <c r="F30" s="52"/>
      <c r="G30" s="81"/>
    </row>
    <row r="31" spans="1:7" ht="12.75" customHeight="1" x14ac:dyDescent="0.2">
      <c r="A31" s="4">
        <f>C316</f>
        <v>523</v>
      </c>
      <c r="B31" s="4">
        <v>840</v>
      </c>
      <c r="C31" s="37">
        <v>26000</v>
      </c>
      <c r="D31" s="85">
        <f>C316</f>
        <v>523</v>
      </c>
      <c r="E31" s="84" t="s">
        <v>10</v>
      </c>
      <c r="F31" s="52" t="s">
        <v>73</v>
      </c>
      <c r="G31" s="37"/>
    </row>
    <row r="32" spans="1:7" ht="12.75" customHeight="1" x14ac:dyDescent="0.2">
      <c r="A32" s="4">
        <f>C320</f>
        <v>16763</v>
      </c>
      <c r="B32" s="4">
        <v>840</v>
      </c>
      <c r="C32" s="37">
        <v>26050</v>
      </c>
      <c r="D32" s="85">
        <f>C320</f>
        <v>16763</v>
      </c>
      <c r="E32" s="84" t="s">
        <v>11</v>
      </c>
      <c r="F32" s="52" t="s">
        <v>77</v>
      </c>
      <c r="G32" s="37"/>
    </row>
    <row r="33" spans="1:7" ht="12.75" customHeight="1" x14ac:dyDescent="0.2">
      <c r="A33" s="4">
        <v>5</v>
      </c>
      <c r="B33" s="4">
        <v>840</v>
      </c>
      <c r="C33" s="37">
        <v>27000</v>
      </c>
      <c r="D33" s="4">
        <v>5</v>
      </c>
      <c r="E33" s="84" t="s">
        <v>74</v>
      </c>
      <c r="F33" s="52" t="s">
        <v>75</v>
      </c>
      <c r="G33" s="37"/>
    </row>
    <row r="34" spans="1:7" ht="12.75" customHeight="1" thickBot="1" x14ac:dyDescent="0.25">
      <c r="A34" s="53"/>
      <c r="B34" s="38">
        <v>840</v>
      </c>
      <c r="C34" s="39">
        <v>28000</v>
      </c>
      <c r="D34" s="109" t="s">
        <v>76</v>
      </c>
      <c r="E34" s="110" t="s">
        <v>76</v>
      </c>
      <c r="F34" s="111" t="s">
        <v>120</v>
      </c>
      <c r="G34" s="39"/>
    </row>
    <row r="37" spans="1:7" x14ac:dyDescent="0.2">
      <c r="A37" s="56">
        <v>203</v>
      </c>
      <c r="B37" s="56">
        <v>20000</v>
      </c>
      <c r="C37" s="56">
        <f>ROUNDUP(C71/27,)</f>
        <v>436</v>
      </c>
      <c r="D37" s="57" t="s">
        <v>6</v>
      </c>
      <c r="E37" s="56"/>
      <c r="F37" s="61" t="s">
        <v>62</v>
      </c>
      <c r="G37" s="1" t="s">
        <v>58</v>
      </c>
    </row>
    <row r="39" spans="1:7" ht="15" x14ac:dyDescent="0.25">
      <c r="C39" s="107">
        <f>(22.53+22.53)/2</f>
        <v>22.53</v>
      </c>
      <c r="D39" s="46" t="s">
        <v>11</v>
      </c>
      <c r="F39" s="45" t="s">
        <v>145</v>
      </c>
    </row>
    <row r="40" spans="1:7" ht="15" x14ac:dyDescent="0.25">
      <c r="C40" s="107">
        <v>42.82</v>
      </c>
      <c r="D40" s="46" t="s">
        <v>10</v>
      </c>
      <c r="F40" s="45" t="s">
        <v>146</v>
      </c>
    </row>
    <row r="41" spans="1:7" ht="15" x14ac:dyDescent="0.25">
      <c r="C41" s="76">
        <f>C39*C40</f>
        <v>964.7346</v>
      </c>
      <c r="D41" s="46" t="s">
        <v>84</v>
      </c>
      <c r="F41" s="45" t="s">
        <v>147</v>
      </c>
    </row>
    <row r="42" spans="1:7" ht="15" x14ac:dyDescent="0.25">
      <c r="C42" s="107">
        <f>(22.53+26.04)/2</f>
        <v>24.285</v>
      </c>
      <c r="D42" s="46" t="s">
        <v>11</v>
      </c>
      <c r="F42" s="45" t="s">
        <v>148</v>
      </c>
    </row>
    <row r="43" spans="1:7" ht="15" x14ac:dyDescent="0.25">
      <c r="C43" s="107">
        <v>52.16</v>
      </c>
      <c r="D43" s="46" t="s">
        <v>10</v>
      </c>
      <c r="F43" s="45" t="s">
        <v>149</v>
      </c>
    </row>
    <row r="44" spans="1:7" ht="15" x14ac:dyDescent="0.25">
      <c r="C44" s="76">
        <f>C42*C43</f>
        <v>1266.7056</v>
      </c>
      <c r="D44" s="46" t="s">
        <v>84</v>
      </c>
      <c r="F44" s="45" t="s">
        <v>150</v>
      </c>
    </row>
    <row r="45" spans="1:7" ht="15" x14ac:dyDescent="0.25">
      <c r="C45" s="107">
        <f>(26.04+26.7)/2</f>
        <v>26.369999999999997</v>
      </c>
      <c r="D45" s="46" t="s">
        <v>11</v>
      </c>
      <c r="F45" s="45" t="s">
        <v>151</v>
      </c>
    </row>
    <row r="46" spans="1:7" ht="15" x14ac:dyDescent="0.25">
      <c r="C46" s="107">
        <v>50</v>
      </c>
      <c r="D46" s="46" t="s">
        <v>10</v>
      </c>
      <c r="F46" s="45" t="s">
        <v>152</v>
      </c>
    </row>
    <row r="47" spans="1:7" ht="15" x14ac:dyDescent="0.25">
      <c r="C47" s="76">
        <f>C45*C46</f>
        <v>1318.4999999999998</v>
      </c>
      <c r="D47" s="46" t="s">
        <v>84</v>
      </c>
      <c r="F47" s="45" t="s">
        <v>153</v>
      </c>
    </row>
    <row r="48" spans="1:7" ht="15" x14ac:dyDescent="0.25">
      <c r="C48" s="107">
        <f>(26.7+29.43)/2</f>
        <v>28.064999999999998</v>
      </c>
      <c r="D48" s="46" t="s">
        <v>11</v>
      </c>
      <c r="F48" s="45" t="s">
        <v>154</v>
      </c>
    </row>
    <row r="49" spans="3:6" ht="15" x14ac:dyDescent="0.25">
      <c r="C49" s="107">
        <v>50</v>
      </c>
      <c r="D49" s="46" t="s">
        <v>10</v>
      </c>
      <c r="F49" s="45" t="s">
        <v>155</v>
      </c>
    </row>
    <row r="50" spans="3:6" ht="15" x14ac:dyDescent="0.25">
      <c r="C50" s="76">
        <f>C48*C49</f>
        <v>1403.25</v>
      </c>
      <c r="D50" s="46" t="s">
        <v>84</v>
      </c>
      <c r="F50" s="45" t="s">
        <v>156</v>
      </c>
    </row>
    <row r="51" spans="3:6" ht="15" x14ac:dyDescent="0.25">
      <c r="C51" s="107">
        <f>(29.43+23.33)/2</f>
        <v>26.38</v>
      </c>
      <c r="D51" s="46" t="s">
        <v>11</v>
      </c>
      <c r="F51" s="45" t="s">
        <v>157</v>
      </c>
    </row>
    <row r="52" spans="3:6" ht="15" x14ac:dyDescent="0.25">
      <c r="C52" s="107">
        <v>43.89</v>
      </c>
      <c r="D52" s="46" t="s">
        <v>10</v>
      </c>
      <c r="F52" s="45" t="s">
        <v>158</v>
      </c>
    </row>
    <row r="53" spans="3:6" ht="15" x14ac:dyDescent="0.25">
      <c r="C53" s="76">
        <f>C51*C52</f>
        <v>1157.8181999999999</v>
      </c>
      <c r="D53" s="46" t="s">
        <v>84</v>
      </c>
      <c r="F53" s="45" t="s">
        <v>159</v>
      </c>
    </row>
    <row r="55" spans="3:6" ht="15" x14ac:dyDescent="0.25">
      <c r="C55" s="107">
        <f>(23.33+22.66)/2</f>
        <v>22.994999999999997</v>
      </c>
      <c r="D55" s="46" t="s">
        <v>11</v>
      </c>
      <c r="F55" s="45" t="s">
        <v>130</v>
      </c>
    </row>
    <row r="56" spans="3:6" ht="15" x14ac:dyDescent="0.25">
      <c r="C56" s="107">
        <v>50</v>
      </c>
      <c r="D56" s="46" t="s">
        <v>10</v>
      </c>
      <c r="F56" s="45" t="s">
        <v>131</v>
      </c>
    </row>
    <row r="57" spans="3:6" ht="15" x14ac:dyDescent="0.25">
      <c r="C57" s="76">
        <f>C55*C56</f>
        <v>1149.7499999999998</v>
      </c>
      <c r="D57" s="46" t="s">
        <v>84</v>
      </c>
      <c r="F57" s="45" t="s">
        <v>132</v>
      </c>
    </row>
    <row r="58" spans="3:6" ht="15" x14ac:dyDescent="0.25">
      <c r="C58" s="107">
        <f>(22.66+38.53)/2</f>
        <v>30.594999999999999</v>
      </c>
      <c r="D58" s="46" t="s">
        <v>11</v>
      </c>
      <c r="F58" s="45" t="s">
        <v>133</v>
      </c>
    </row>
    <row r="59" spans="3:6" ht="15" x14ac:dyDescent="0.25">
      <c r="C59" s="107">
        <v>50</v>
      </c>
      <c r="D59" s="46" t="s">
        <v>10</v>
      </c>
      <c r="F59" s="45" t="s">
        <v>134</v>
      </c>
    </row>
    <row r="60" spans="3:6" ht="15" x14ac:dyDescent="0.25">
      <c r="C60" s="77">
        <f>C58*C59</f>
        <v>1529.75</v>
      </c>
      <c r="D60" s="46" t="s">
        <v>84</v>
      </c>
      <c r="F60" s="45" t="s">
        <v>135</v>
      </c>
    </row>
    <row r="61" spans="3:6" ht="15" x14ac:dyDescent="0.25">
      <c r="C61" s="107">
        <f>(38.53+22.69)/2</f>
        <v>30.61</v>
      </c>
      <c r="D61" s="46" t="s">
        <v>11</v>
      </c>
      <c r="F61" s="45" t="s">
        <v>136</v>
      </c>
    </row>
    <row r="62" spans="3:6" ht="15" x14ac:dyDescent="0.25">
      <c r="C62" s="107">
        <v>50</v>
      </c>
      <c r="D62" s="46" t="s">
        <v>10</v>
      </c>
      <c r="F62" s="45" t="s">
        <v>137</v>
      </c>
    </row>
    <row r="63" spans="3:6" ht="15" x14ac:dyDescent="0.25">
      <c r="C63" s="76">
        <f>C61*C62</f>
        <v>1530.5</v>
      </c>
      <c r="D63" s="46" t="s">
        <v>84</v>
      </c>
      <c r="F63" s="45" t="s">
        <v>138</v>
      </c>
    </row>
    <row r="64" spans="3:6" ht="15" x14ac:dyDescent="0.25">
      <c r="C64" s="107">
        <f>(22.69+24.91)/2</f>
        <v>23.8</v>
      </c>
      <c r="D64" s="46" t="s">
        <v>11</v>
      </c>
      <c r="F64" s="45" t="s">
        <v>139</v>
      </c>
    </row>
    <row r="65" spans="1:7" ht="15" x14ac:dyDescent="0.25">
      <c r="C65" s="107">
        <v>50</v>
      </c>
      <c r="D65" s="46" t="s">
        <v>10</v>
      </c>
      <c r="F65" s="45" t="s">
        <v>140</v>
      </c>
    </row>
    <row r="66" spans="1:7" ht="15" x14ac:dyDescent="0.25">
      <c r="C66" s="76">
        <f>C64*C65</f>
        <v>1190</v>
      </c>
      <c r="D66" s="46" t="s">
        <v>84</v>
      </c>
      <c r="F66" s="45" t="s">
        <v>141</v>
      </c>
    </row>
    <row r="67" spans="1:7" ht="15" x14ac:dyDescent="0.25">
      <c r="C67" s="107">
        <f>(24.91+24.91)/2</f>
        <v>24.91</v>
      </c>
      <c r="D67" s="46" t="s">
        <v>11</v>
      </c>
      <c r="F67" s="45" t="s">
        <v>143</v>
      </c>
    </row>
    <row r="68" spans="1:7" ht="15" x14ac:dyDescent="0.25">
      <c r="C68" s="107">
        <v>10.08</v>
      </c>
      <c r="D68" s="46" t="s">
        <v>10</v>
      </c>
      <c r="F68" s="45" t="s">
        <v>142</v>
      </c>
    </row>
    <row r="69" spans="1:7" ht="15" x14ac:dyDescent="0.25">
      <c r="C69" s="76">
        <f>C67*C68</f>
        <v>251.09280000000001</v>
      </c>
      <c r="D69" s="46" t="s">
        <v>84</v>
      </c>
      <c r="F69" s="45" t="s">
        <v>144</v>
      </c>
    </row>
    <row r="71" spans="1:7" x14ac:dyDescent="0.2">
      <c r="C71" s="78">
        <f>C41+C44+C47+C50+C53+C57+C60+C63+C66+C69</f>
        <v>11762.101199999999</v>
      </c>
      <c r="D71" s="46" t="s">
        <v>84</v>
      </c>
      <c r="F71" s="45" t="s">
        <v>160</v>
      </c>
    </row>
    <row r="72" spans="1:7" x14ac:dyDescent="0.2">
      <c r="F72" s="2"/>
    </row>
    <row r="73" spans="1:7" x14ac:dyDescent="0.2">
      <c r="A73" s="56">
        <v>203</v>
      </c>
      <c r="B73" s="56">
        <v>35110</v>
      </c>
      <c r="C73" s="56">
        <f>ROUNDUP(C91/27,)</f>
        <v>935</v>
      </c>
      <c r="D73" s="57" t="s">
        <v>6</v>
      </c>
      <c r="E73" s="56"/>
      <c r="F73" s="61" t="s">
        <v>63</v>
      </c>
      <c r="G73" s="1" t="s">
        <v>58</v>
      </c>
    </row>
    <row r="74" spans="1:7" x14ac:dyDescent="0.2">
      <c r="A74" s="23"/>
      <c r="B74" s="23"/>
      <c r="C74" s="23"/>
      <c r="D74" s="58"/>
      <c r="E74" s="23"/>
      <c r="F74" s="62"/>
    </row>
    <row r="75" spans="1:7" ht="15" x14ac:dyDescent="0.25">
      <c r="A75" s="23"/>
      <c r="B75" s="23"/>
      <c r="C75" s="107">
        <f>(183.64+183.64)/2</f>
        <v>183.64</v>
      </c>
      <c r="D75" s="46" t="s">
        <v>11</v>
      </c>
      <c r="F75" s="45" t="s">
        <v>145</v>
      </c>
    </row>
    <row r="76" spans="1:7" ht="15" x14ac:dyDescent="0.25">
      <c r="A76" s="23"/>
      <c r="B76" s="23"/>
      <c r="C76" s="107">
        <v>42.82</v>
      </c>
      <c r="D76" s="46" t="s">
        <v>10</v>
      </c>
      <c r="F76" s="45" t="s">
        <v>146</v>
      </c>
    </row>
    <row r="77" spans="1:7" ht="15" x14ac:dyDescent="0.25">
      <c r="A77" s="23"/>
      <c r="B77" s="23"/>
      <c r="C77" s="76">
        <f>C75*C76</f>
        <v>7863.4647999999997</v>
      </c>
      <c r="D77" s="46" t="s">
        <v>84</v>
      </c>
      <c r="F77" s="45" t="s">
        <v>147</v>
      </c>
    </row>
    <row r="78" spans="1:7" ht="15" x14ac:dyDescent="0.25">
      <c r="A78" s="23"/>
      <c r="B78" s="23"/>
      <c r="C78" s="107">
        <f>(91.41+87.1)/2</f>
        <v>89.254999999999995</v>
      </c>
      <c r="D78" s="46" t="s">
        <v>11</v>
      </c>
      <c r="F78" s="45" t="s">
        <v>148</v>
      </c>
    </row>
    <row r="79" spans="1:7" ht="15" x14ac:dyDescent="0.25">
      <c r="A79" s="23"/>
      <c r="B79" s="23"/>
      <c r="C79" s="107">
        <v>52.16</v>
      </c>
      <c r="D79" s="46" t="s">
        <v>10</v>
      </c>
      <c r="F79" s="45" t="s">
        <v>149</v>
      </c>
    </row>
    <row r="80" spans="1:7" ht="15" x14ac:dyDescent="0.25">
      <c r="A80" s="23"/>
      <c r="B80" s="23"/>
      <c r="C80" s="76">
        <f>C78*C79</f>
        <v>4655.5407999999998</v>
      </c>
      <c r="D80" s="46" t="s">
        <v>84</v>
      </c>
      <c r="F80" s="45" t="s">
        <v>150</v>
      </c>
    </row>
    <row r="81" spans="1:7" ht="15" x14ac:dyDescent="0.25">
      <c r="A81" s="23"/>
      <c r="B81" s="23"/>
      <c r="C81" s="107">
        <f>(87.1+95.44)/2</f>
        <v>91.27</v>
      </c>
      <c r="D81" s="46" t="s">
        <v>11</v>
      </c>
      <c r="F81" s="45" t="s">
        <v>151</v>
      </c>
    </row>
    <row r="82" spans="1:7" ht="15" x14ac:dyDescent="0.25">
      <c r="A82" s="23"/>
      <c r="B82" s="23"/>
      <c r="C82" s="107">
        <v>50</v>
      </c>
      <c r="D82" s="46" t="s">
        <v>10</v>
      </c>
      <c r="F82" s="45" t="s">
        <v>152</v>
      </c>
    </row>
    <row r="83" spans="1:7" ht="15" x14ac:dyDescent="0.25">
      <c r="A83" s="23"/>
      <c r="B83" s="23"/>
      <c r="C83" s="76">
        <f>C81*C82</f>
        <v>4563.5</v>
      </c>
      <c r="D83" s="46" t="s">
        <v>84</v>
      </c>
      <c r="F83" s="45" t="s">
        <v>153</v>
      </c>
    </row>
    <row r="84" spans="1:7" ht="15" x14ac:dyDescent="0.25">
      <c r="A84" s="23"/>
      <c r="B84" s="23"/>
      <c r="C84" s="107">
        <f>(95.44+77.65)/2</f>
        <v>86.545000000000002</v>
      </c>
      <c r="D84" s="46" t="s">
        <v>11</v>
      </c>
      <c r="F84" s="45" t="s">
        <v>154</v>
      </c>
    </row>
    <row r="85" spans="1:7" ht="15" x14ac:dyDescent="0.25">
      <c r="A85" s="23"/>
      <c r="B85" s="23"/>
      <c r="C85" s="107">
        <v>50</v>
      </c>
      <c r="D85" s="46" t="s">
        <v>10</v>
      </c>
      <c r="F85" s="45" t="s">
        <v>155</v>
      </c>
    </row>
    <row r="86" spans="1:7" ht="15" x14ac:dyDescent="0.25">
      <c r="A86" s="23"/>
      <c r="B86" s="23"/>
      <c r="C86" s="76">
        <f>C84*C85</f>
        <v>4327.25</v>
      </c>
      <c r="D86" s="46" t="s">
        <v>84</v>
      </c>
      <c r="F86" s="45" t="s">
        <v>156</v>
      </c>
    </row>
    <row r="87" spans="1:7" ht="15" x14ac:dyDescent="0.25">
      <c r="A87" s="23"/>
      <c r="B87" s="23"/>
      <c r="C87" s="107">
        <f>(77.65+96.07)/2</f>
        <v>86.86</v>
      </c>
      <c r="D87" s="46" t="s">
        <v>11</v>
      </c>
      <c r="F87" s="45" t="s">
        <v>157</v>
      </c>
    </row>
    <row r="88" spans="1:7" ht="15" x14ac:dyDescent="0.25">
      <c r="A88" s="23"/>
      <c r="B88" s="23"/>
      <c r="C88" s="107">
        <v>43.89</v>
      </c>
      <c r="D88" s="46" t="s">
        <v>10</v>
      </c>
      <c r="F88" s="45" t="s">
        <v>158</v>
      </c>
    </row>
    <row r="89" spans="1:7" ht="15" x14ac:dyDescent="0.25">
      <c r="A89" s="23"/>
      <c r="B89" s="23"/>
      <c r="C89" s="76">
        <f>C87*C88</f>
        <v>3812.2854000000002</v>
      </c>
      <c r="D89" s="46" t="s">
        <v>84</v>
      </c>
      <c r="F89" s="45" t="s">
        <v>159</v>
      </c>
    </row>
    <row r="90" spans="1:7" x14ac:dyDescent="0.2">
      <c r="A90" s="23"/>
      <c r="B90" s="23"/>
      <c r="C90"/>
      <c r="D90" s="46"/>
      <c r="F90" s="45"/>
    </row>
    <row r="91" spans="1:7" x14ac:dyDescent="0.2">
      <c r="A91" s="23"/>
      <c r="B91" s="23"/>
      <c r="C91" s="79">
        <f>C77+C80+C83+C86+C89</f>
        <v>25222.041000000001</v>
      </c>
      <c r="D91" s="46" t="s">
        <v>84</v>
      </c>
      <c r="F91" s="45" t="s">
        <v>85</v>
      </c>
    </row>
    <row r="92" spans="1:7" x14ac:dyDescent="0.2">
      <c r="A92" s="23"/>
      <c r="B92" s="23"/>
      <c r="C92" s="23"/>
      <c r="D92" s="23"/>
      <c r="E92" s="23"/>
      <c r="F92" s="25"/>
    </row>
    <row r="93" spans="1:7" x14ac:dyDescent="0.2">
      <c r="A93" s="23"/>
      <c r="B93" s="23"/>
      <c r="C93" s="23"/>
      <c r="D93" s="23"/>
      <c r="E93" s="23"/>
      <c r="F93" s="25"/>
    </row>
    <row r="94" spans="1:7" x14ac:dyDescent="0.2">
      <c r="A94" s="56">
        <v>203</v>
      </c>
      <c r="B94" s="56">
        <v>35120</v>
      </c>
      <c r="C94" s="56">
        <f>ROUNDUP(C128/27,)</f>
        <v>456</v>
      </c>
      <c r="D94" s="57" t="s">
        <v>6</v>
      </c>
      <c r="E94" s="56"/>
      <c r="F94" s="61" t="s">
        <v>83</v>
      </c>
      <c r="G94" s="1" t="s">
        <v>58</v>
      </c>
    </row>
    <row r="95" spans="1:7" x14ac:dyDescent="0.2">
      <c r="F95" s="2"/>
    </row>
    <row r="96" spans="1:7" ht="15" x14ac:dyDescent="0.25">
      <c r="C96" s="107">
        <f>(37.95+37.95)/2</f>
        <v>37.950000000000003</v>
      </c>
      <c r="D96" s="46" t="s">
        <v>11</v>
      </c>
      <c r="F96" s="45" t="s">
        <v>145</v>
      </c>
    </row>
    <row r="97" spans="3:6" ht="15" x14ac:dyDescent="0.25">
      <c r="C97" s="107">
        <v>42.82</v>
      </c>
      <c r="D97" s="46" t="s">
        <v>10</v>
      </c>
      <c r="F97" s="45" t="s">
        <v>146</v>
      </c>
    </row>
    <row r="98" spans="3:6" ht="15" x14ac:dyDescent="0.25">
      <c r="C98" s="76">
        <f>C96*C97</f>
        <v>1625.0190000000002</v>
      </c>
      <c r="D98" s="46" t="s">
        <v>84</v>
      </c>
      <c r="F98" s="45" t="s">
        <v>147</v>
      </c>
    </row>
    <row r="99" spans="3:6" ht="15" x14ac:dyDescent="0.25">
      <c r="C99" s="107">
        <f>(37.95+37.78)/2</f>
        <v>37.865000000000002</v>
      </c>
      <c r="D99" s="46" t="s">
        <v>11</v>
      </c>
      <c r="F99" s="45" t="s">
        <v>148</v>
      </c>
    </row>
    <row r="100" spans="3:6" ht="15" x14ac:dyDescent="0.25">
      <c r="C100" s="107">
        <v>52.16</v>
      </c>
      <c r="D100" s="46" t="s">
        <v>10</v>
      </c>
      <c r="F100" s="45" t="s">
        <v>149</v>
      </c>
    </row>
    <row r="101" spans="3:6" ht="15" x14ac:dyDescent="0.25">
      <c r="C101" s="76">
        <f>C99*C100</f>
        <v>1975.0383999999999</v>
      </c>
      <c r="D101" s="46" t="s">
        <v>84</v>
      </c>
      <c r="F101" s="45" t="s">
        <v>150</v>
      </c>
    </row>
    <row r="102" spans="3:6" ht="15" x14ac:dyDescent="0.25">
      <c r="C102" s="107">
        <f>(37.38+32.74)/2</f>
        <v>35.06</v>
      </c>
      <c r="D102" s="46" t="s">
        <v>11</v>
      </c>
      <c r="F102" s="45" t="s">
        <v>151</v>
      </c>
    </row>
    <row r="103" spans="3:6" ht="15" x14ac:dyDescent="0.25">
      <c r="C103" s="107">
        <v>50</v>
      </c>
      <c r="D103" s="46" t="s">
        <v>10</v>
      </c>
      <c r="F103" s="45" t="s">
        <v>152</v>
      </c>
    </row>
    <row r="104" spans="3:6" ht="15" x14ac:dyDescent="0.25">
      <c r="C104" s="76">
        <f>C102*C103</f>
        <v>1753</v>
      </c>
      <c r="D104" s="46" t="s">
        <v>84</v>
      </c>
      <c r="F104" s="45" t="s">
        <v>153</v>
      </c>
    </row>
    <row r="105" spans="3:6" ht="15" x14ac:dyDescent="0.25">
      <c r="C105" s="107">
        <f>(32.74+29.46)/2</f>
        <v>31.1</v>
      </c>
      <c r="D105" s="46" t="s">
        <v>11</v>
      </c>
      <c r="F105" s="45" t="s">
        <v>154</v>
      </c>
    </row>
    <row r="106" spans="3:6" ht="15" x14ac:dyDescent="0.25">
      <c r="C106" s="107">
        <v>50</v>
      </c>
      <c r="D106" s="46" t="s">
        <v>10</v>
      </c>
      <c r="F106" s="45" t="s">
        <v>155</v>
      </c>
    </row>
    <row r="107" spans="3:6" ht="15" x14ac:dyDescent="0.25">
      <c r="C107" s="76">
        <f>C105*C106</f>
        <v>1555</v>
      </c>
      <c r="D107" s="46" t="s">
        <v>84</v>
      </c>
      <c r="F107" s="45" t="s">
        <v>156</v>
      </c>
    </row>
    <row r="108" spans="3:6" ht="15" x14ac:dyDescent="0.25">
      <c r="C108" s="107">
        <f>(29.46+36.36)/2</f>
        <v>32.909999999999997</v>
      </c>
      <c r="D108" s="46" t="s">
        <v>11</v>
      </c>
      <c r="F108" s="45" t="s">
        <v>157</v>
      </c>
    </row>
    <row r="109" spans="3:6" ht="15" x14ac:dyDescent="0.25">
      <c r="C109" s="107">
        <v>43.89</v>
      </c>
      <c r="D109" s="46" t="s">
        <v>10</v>
      </c>
      <c r="F109" s="45" t="s">
        <v>158</v>
      </c>
    </row>
    <row r="110" spans="3:6" ht="15" x14ac:dyDescent="0.25">
      <c r="C110" s="76">
        <f>C108*C109</f>
        <v>1444.4198999999999</v>
      </c>
      <c r="D110" s="46" t="s">
        <v>84</v>
      </c>
      <c r="F110" s="45" t="s">
        <v>159</v>
      </c>
    </row>
    <row r="111" spans="3:6" x14ac:dyDescent="0.2">
      <c r="F111" s="2"/>
    </row>
    <row r="112" spans="3:6" ht="15" x14ac:dyDescent="0.25">
      <c r="C112" s="107">
        <f>(25.5+21.77)/2</f>
        <v>23.634999999999998</v>
      </c>
      <c r="D112" s="46" t="s">
        <v>11</v>
      </c>
      <c r="F112" s="45" t="s">
        <v>130</v>
      </c>
    </row>
    <row r="113" spans="3:6" ht="15" x14ac:dyDescent="0.25">
      <c r="C113" s="107">
        <v>50</v>
      </c>
      <c r="D113" s="46" t="s">
        <v>10</v>
      </c>
      <c r="F113" s="45" t="s">
        <v>131</v>
      </c>
    </row>
    <row r="114" spans="3:6" ht="15" x14ac:dyDescent="0.25">
      <c r="C114" s="76">
        <f>C112*C113</f>
        <v>1181.75</v>
      </c>
      <c r="D114" s="46" t="s">
        <v>84</v>
      </c>
      <c r="F114" s="45" t="s">
        <v>132</v>
      </c>
    </row>
    <row r="115" spans="3:6" ht="15" x14ac:dyDescent="0.25">
      <c r="C115" s="107">
        <f>(21.77+21.78)/2</f>
        <v>21.774999999999999</v>
      </c>
      <c r="D115" s="46" t="s">
        <v>11</v>
      </c>
      <c r="F115" s="45" t="s">
        <v>133</v>
      </c>
    </row>
    <row r="116" spans="3:6" ht="15" x14ac:dyDescent="0.25">
      <c r="C116" s="107">
        <v>50</v>
      </c>
      <c r="D116" s="46" t="s">
        <v>10</v>
      </c>
      <c r="F116" s="45" t="s">
        <v>134</v>
      </c>
    </row>
    <row r="117" spans="3:6" ht="15" x14ac:dyDescent="0.25">
      <c r="C117" s="77">
        <f>C115*C116</f>
        <v>1088.75</v>
      </c>
      <c r="D117" s="46" t="s">
        <v>84</v>
      </c>
      <c r="F117" s="45" t="s">
        <v>135</v>
      </c>
    </row>
    <row r="118" spans="3:6" ht="15" x14ac:dyDescent="0.25">
      <c r="C118" s="107">
        <f>(21.78+14.18)/2</f>
        <v>17.98</v>
      </c>
      <c r="D118" s="46" t="s">
        <v>11</v>
      </c>
      <c r="F118" s="45" t="s">
        <v>136</v>
      </c>
    </row>
    <row r="119" spans="3:6" ht="15" x14ac:dyDescent="0.25">
      <c r="C119" s="107">
        <v>50</v>
      </c>
      <c r="D119" s="46" t="s">
        <v>10</v>
      </c>
      <c r="F119" s="45" t="s">
        <v>137</v>
      </c>
    </row>
    <row r="120" spans="3:6" ht="15" x14ac:dyDescent="0.25">
      <c r="C120" s="76">
        <f>C118*C119</f>
        <v>899</v>
      </c>
      <c r="D120" s="46" t="s">
        <v>84</v>
      </c>
      <c r="F120" s="45" t="s">
        <v>138</v>
      </c>
    </row>
    <row r="121" spans="3:6" ht="15" x14ac:dyDescent="0.25">
      <c r="C121" s="107">
        <f>(14.18+12.32)/2</f>
        <v>13.25</v>
      </c>
      <c r="D121" s="46" t="s">
        <v>11</v>
      </c>
      <c r="F121" s="45" t="s">
        <v>139</v>
      </c>
    </row>
    <row r="122" spans="3:6" ht="15" x14ac:dyDescent="0.25">
      <c r="C122" s="107">
        <v>50</v>
      </c>
      <c r="D122" s="46" t="s">
        <v>10</v>
      </c>
      <c r="F122" s="45" t="s">
        <v>140</v>
      </c>
    </row>
    <row r="123" spans="3:6" ht="15" x14ac:dyDescent="0.25">
      <c r="C123" s="76">
        <f>C121*C122</f>
        <v>662.5</v>
      </c>
      <c r="D123" s="46" t="s">
        <v>84</v>
      </c>
      <c r="F123" s="45" t="s">
        <v>141</v>
      </c>
    </row>
    <row r="124" spans="3:6" ht="15" x14ac:dyDescent="0.25">
      <c r="C124" s="107">
        <f>(12.32+12.32)/2</f>
        <v>12.32</v>
      </c>
      <c r="D124" s="46" t="s">
        <v>11</v>
      </c>
      <c r="F124" s="45" t="s">
        <v>143</v>
      </c>
    </row>
    <row r="125" spans="3:6" ht="15" x14ac:dyDescent="0.25">
      <c r="C125" s="107">
        <v>10.08</v>
      </c>
      <c r="D125" s="46" t="s">
        <v>10</v>
      </c>
      <c r="F125" s="45" t="s">
        <v>142</v>
      </c>
    </row>
    <row r="126" spans="3:6" ht="15" x14ac:dyDescent="0.25">
      <c r="C126" s="76">
        <f>C124*C125</f>
        <v>124.18560000000001</v>
      </c>
      <c r="D126" s="46" t="s">
        <v>84</v>
      </c>
      <c r="F126" s="45" t="s">
        <v>144</v>
      </c>
    </row>
    <row r="127" spans="3:6" s="23" customFormat="1" ht="15" x14ac:dyDescent="0.25">
      <c r="C127" s="107"/>
      <c r="D127" s="58"/>
      <c r="F127" s="62"/>
    </row>
    <row r="128" spans="3:6" x14ac:dyDescent="0.2">
      <c r="C128" s="78">
        <f>C98+C101+C104+C107+C110+C114+C117+C120+C123+C126</f>
        <v>12308.662899999999</v>
      </c>
      <c r="D128" s="46" t="s">
        <v>84</v>
      </c>
      <c r="F128" s="45" t="s">
        <v>160</v>
      </c>
    </row>
    <row r="129" spans="1:7" x14ac:dyDescent="0.2">
      <c r="D129" s="46"/>
      <c r="F129" s="45"/>
    </row>
    <row r="130" spans="1:7" x14ac:dyDescent="0.2">
      <c r="A130" s="66">
        <v>203</v>
      </c>
      <c r="B130" s="64">
        <v>65000</v>
      </c>
      <c r="C130" s="64">
        <f>C132</f>
        <v>2</v>
      </c>
      <c r="D130" s="60" t="s">
        <v>37</v>
      </c>
      <c r="E130" s="65"/>
      <c r="F130" s="55" t="s">
        <v>65</v>
      </c>
      <c r="G130" s="1" t="s">
        <v>58</v>
      </c>
    </row>
    <row r="131" spans="1:7" x14ac:dyDescent="0.2">
      <c r="D131" s="46"/>
      <c r="F131" s="45"/>
    </row>
    <row r="132" spans="1:7" ht="15" x14ac:dyDescent="0.25">
      <c r="C132" s="76">
        <v>2</v>
      </c>
      <c r="D132" s="46" t="s">
        <v>37</v>
      </c>
      <c r="F132" s="45" t="s">
        <v>99</v>
      </c>
    </row>
    <row r="133" spans="1:7" x14ac:dyDescent="0.2">
      <c r="D133" s="46"/>
      <c r="F133" s="45"/>
    </row>
    <row r="134" spans="1:7" x14ac:dyDescent="0.2">
      <c r="A134" s="64">
        <v>203</v>
      </c>
      <c r="B134" s="64">
        <v>98000</v>
      </c>
      <c r="C134" s="64">
        <f>ROUNDUP(C152/27,)</f>
        <v>4687</v>
      </c>
      <c r="D134" s="60" t="s">
        <v>6</v>
      </c>
      <c r="E134" s="65"/>
      <c r="F134" s="55" t="s">
        <v>80</v>
      </c>
      <c r="G134" s="1" t="s">
        <v>58</v>
      </c>
    </row>
    <row r="135" spans="1:7" x14ac:dyDescent="0.2">
      <c r="D135" s="46"/>
      <c r="F135" s="45"/>
    </row>
    <row r="136" spans="1:7" ht="15" x14ac:dyDescent="0.25">
      <c r="C136" s="107">
        <v>0</v>
      </c>
      <c r="D136" s="46" t="s">
        <v>11</v>
      </c>
      <c r="F136" s="45" t="s">
        <v>145</v>
      </c>
    </row>
    <row r="137" spans="1:7" ht="15" x14ac:dyDescent="0.25">
      <c r="C137" s="107">
        <v>42.82</v>
      </c>
      <c r="D137" s="46" t="s">
        <v>10</v>
      </c>
      <c r="F137" s="45" t="s">
        <v>146</v>
      </c>
    </row>
    <row r="138" spans="1:7" ht="15" x14ac:dyDescent="0.25">
      <c r="C138" s="76">
        <f>C136*C137</f>
        <v>0</v>
      </c>
      <c r="D138" s="46" t="s">
        <v>84</v>
      </c>
      <c r="F138" s="45" t="s">
        <v>147</v>
      </c>
    </row>
    <row r="139" spans="1:7" ht="15" x14ac:dyDescent="0.25">
      <c r="C139" s="107">
        <f>(1007+1010.42)/2</f>
        <v>1008.71</v>
      </c>
      <c r="D139" s="46" t="s">
        <v>11</v>
      </c>
      <c r="F139" s="45" t="s">
        <v>148</v>
      </c>
    </row>
    <row r="140" spans="1:7" ht="15" x14ac:dyDescent="0.25">
      <c r="C140" s="107">
        <v>52.16</v>
      </c>
      <c r="D140" s="46" t="s">
        <v>10</v>
      </c>
      <c r="F140" s="45" t="s">
        <v>149</v>
      </c>
    </row>
    <row r="141" spans="1:7" ht="15" x14ac:dyDescent="0.25">
      <c r="C141" s="76">
        <f>C139*C140</f>
        <v>52614.313600000001</v>
      </c>
      <c r="D141" s="46" t="s">
        <v>84</v>
      </c>
      <c r="F141" s="45" t="s">
        <v>150</v>
      </c>
    </row>
    <row r="142" spans="1:7" ht="15" x14ac:dyDescent="0.25">
      <c r="C142" s="107">
        <f>(1010.42+973.07)/2</f>
        <v>991.745</v>
      </c>
      <c r="D142" s="46" t="s">
        <v>11</v>
      </c>
      <c r="F142" s="45" t="s">
        <v>151</v>
      </c>
    </row>
    <row r="143" spans="1:7" ht="15" x14ac:dyDescent="0.25">
      <c r="C143" s="107">
        <v>50</v>
      </c>
      <c r="D143" s="46" t="s">
        <v>10</v>
      </c>
      <c r="F143" s="45" t="s">
        <v>152</v>
      </c>
    </row>
    <row r="144" spans="1:7" ht="15" x14ac:dyDescent="0.25">
      <c r="C144" s="76">
        <f>C142*C143</f>
        <v>49587.25</v>
      </c>
      <c r="D144" s="46" t="s">
        <v>84</v>
      </c>
      <c r="F144" s="45" t="s">
        <v>153</v>
      </c>
    </row>
    <row r="145" spans="1:7" ht="15" x14ac:dyDescent="0.25">
      <c r="C145" s="107">
        <f>(973.07+0)/2</f>
        <v>486.53500000000003</v>
      </c>
      <c r="D145" s="46" t="s">
        <v>11</v>
      </c>
      <c r="F145" s="45" t="s">
        <v>154</v>
      </c>
    </row>
    <row r="146" spans="1:7" ht="15" x14ac:dyDescent="0.25">
      <c r="C146" s="107">
        <v>50</v>
      </c>
      <c r="D146" s="46" t="s">
        <v>10</v>
      </c>
      <c r="F146" s="45" t="s">
        <v>155</v>
      </c>
    </row>
    <row r="147" spans="1:7" ht="15" x14ac:dyDescent="0.25">
      <c r="C147" s="76">
        <f>C145*C146</f>
        <v>24326.75</v>
      </c>
      <c r="D147" s="46" t="s">
        <v>84</v>
      </c>
      <c r="F147" s="45" t="s">
        <v>156</v>
      </c>
    </row>
    <row r="148" spans="1:7" ht="15" x14ac:dyDescent="0.25">
      <c r="C148" s="107">
        <v>0</v>
      </c>
      <c r="D148" s="46" t="s">
        <v>11</v>
      </c>
      <c r="F148" s="45" t="s">
        <v>157</v>
      </c>
    </row>
    <row r="149" spans="1:7" ht="15" x14ac:dyDescent="0.25">
      <c r="C149" s="107">
        <v>43.89</v>
      </c>
      <c r="D149" s="46" t="s">
        <v>10</v>
      </c>
      <c r="F149" s="45" t="s">
        <v>158</v>
      </c>
    </row>
    <row r="150" spans="1:7" ht="15" x14ac:dyDescent="0.25">
      <c r="C150" s="76">
        <f>C148*C149</f>
        <v>0</v>
      </c>
      <c r="D150" s="46" t="s">
        <v>84</v>
      </c>
      <c r="F150" s="45" t="s">
        <v>159</v>
      </c>
    </row>
    <row r="151" spans="1:7" x14ac:dyDescent="0.2">
      <c r="C151"/>
      <c r="D151" s="46"/>
      <c r="F151" s="45"/>
    </row>
    <row r="152" spans="1:7" x14ac:dyDescent="0.2">
      <c r="C152" s="79">
        <f>C138+C141+C144+C147+C150</f>
        <v>126528.31359999999</v>
      </c>
      <c r="D152" s="46" t="s">
        <v>84</v>
      </c>
      <c r="F152" s="45" t="s">
        <v>85</v>
      </c>
    </row>
    <row r="153" spans="1:7" x14ac:dyDescent="0.2">
      <c r="D153" s="46"/>
      <c r="F153" s="45"/>
    </row>
    <row r="154" spans="1:7" x14ac:dyDescent="0.2">
      <c r="A154" s="64">
        <v>203</v>
      </c>
      <c r="B154" s="60" t="s">
        <v>121</v>
      </c>
      <c r="C154" s="64">
        <f>ROUNDUP(C175/27,)</f>
        <v>9684</v>
      </c>
      <c r="D154" s="60" t="s">
        <v>6</v>
      </c>
      <c r="E154" s="65"/>
      <c r="F154" s="55" t="s">
        <v>124</v>
      </c>
      <c r="G154" s="1" t="s">
        <v>58</v>
      </c>
    </row>
    <row r="155" spans="1:7" x14ac:dyDescent="0.2">
      <c r="D155" s="46"/>
      <c r="F155" s="45"/>
    </row>
    <row r="156" spans="1:7" ht="15" x14ac:dyDescent="0.25">
      <c r="C156" s="107">
        <f>(2906.51+2906.51)/2</f>
        <v>2906.51</v>
      </c>
      <c r="D156" s="46" t="s">
        <v>11</v>
      </c>
      <c r="F156" s="45" t="s">
        <v>145</v>
      </c>
    </row>
    <row r="157" spans="1:7" ht="15" x14ac:dyDescent="0.25">
      <c r="C157" s="107">
        <v>42.82</v>
      </c>
      <c r="D157" s="46" t="s">
        <v>10</v>
      </c>
      <c r="F157" s="45" t="s">
        <v>146</v>
      </c>
    </row>
    <row r="158" spans="1:7" ht="15" x14ac:dyDescent="0.25">
      <c r="C158" s="76">
        <f>C156*C157</f>
        <v>124456.75820000001</v>
      </c>
      <c r="D158" s="46" t="s">
        <v>84</v>
      </c>
      <c r="F158" s="45" t="s">
        <v>147</v>
      </c>
    </row>
    <row r="159" spans="1:7" ht="15" x14ac:dyDescent="0.25">
      <c r="C159" s="107">
        <f>(1451.85+418.93)/2</f>
        <v>935.39</v>
      </c>
      <c r="D159" s="46" t="s">
        <v>11</v>
      </c>
      <c r="F159" s="45" t="s">
        <v>148</v>
      </c>
    </row>
    <row r="160" spans="1:7" ht="15" x14ac:dyDescent="0.25">
      <c r="C160" s="107">
        <v>52.16</v>
      </c>
      <c r="D160" s="46" t="s">
        <v>10</v>
      </c>
      <c r="F160" s="45" t="s">
        <v>149</v>
      </c>
    </row>
    <row r="161" spans="3:6" ht="15" x14ac:dyDescent="0.25">
      <c r="C161" s="76">
        <f>C159*C160</f>
        <v>48789.942399999993</v>
      </c>
      <c r="D161" s="46" t="s">
        <v>84</v>
      </c>
      <c r="F161" s="45" t="s">
        <v>150</v>
      </c>
    </row>
    <row r="162" spans="3:6" ht="15" x14ac:dyDescent="0.25">
      <c r="C162" s="107">
        <f>(418.93+340.39)/2</f>
        <v>379.65999999999997</v>
      </c>
      <c r="D162" s="46" t="s">
        <v>11</v>
      </c>
      <c r="F162" s="45" t="s">
        <v>151</v>
      </c>
    </row>
    <row r="163" spans="3:6" ht="15" x14ac:dyDescent="0.25">
      <c r="C163" s="107">
        <v>50</v>
      </c>
      <c r="D163" s="46" t="s">
        <v>10</v>
      </c>
      <c r="F163" s="45" t="s">
        <v>152</v>
      </c>
    </row>
    <row r="164" spans="3:6" ht="15" x14ac:dyDescent="0.25">
      <c r="C164" s="76">
        <f>C162*C163</f>
        <v>18983</v>
      </c>
      <c r="D164" s="46" t="s">
        <v>84</v>
      </c>
      <c r="F164" s="45" t="s">
        <v>153</v>
      </c>
    </row>
    <row r="165" spans="3:6" ht="15" x14ac:dyDescent="0.25">
      <c r="C165" s="107">
        <f>(340.39+1227.32)/2</f>
        <v>783.85500000000002</v>
      </c>
      <c r="D165" s="46" t="s">
        <v>11</v>
      </c>
      <c r="F165" s="45" t="s">
        <v>154</v>
      </c>
    </row>
    <row r="166" spans="3:6" ht="15" x14ac:dyDescent="0.25">
      <c r="C166" s="107">
        <v>50</v>
      </c>
      <c r="D166" s="46" t="s">
        <v>10</v>
      </c>
      <c r="F166" s="45" t="s">
        <v>155</v>
      </c>
    </row>
    <row r="167" spans="3:6" ht="15" x14ac:dyDescent="0.25">
      <c r="C167" s="76">
        <f>C165*C166</f>
        <v>39192.75</v>
      </c>
      <c r="D167" s="46" t="s">
        <v>84</v>
      </c>
      <c r="F167" s="45" t="s">
        <v>156</v>
      </c>
    </row>
    <row r="168" spans="3:6" ht="15" x14ac:dyDescent="0.25">
      <c r="C168" s="107">
        <f>(1227.32+323.67)/2</f>
        <v>775.495</v>
      </c>
      <c r="D168" s="46" t="s">
        <v>11</v>
      </c>
      <c r="F168" s="45" t="s">
        <v>167</v>
      </c>
    </row>
    <row r="169" spans="3:6" ht="15" x14ac:dyDescent="0.25">
      <c r="C169" s="107">
        <v>33.76</v>
      </c>
      <c r="D169" s="46" t="s">
        <v>10</v>
      </c>
      <c r="F169" s="45" t="s">
        <v>168</v>
      </c>
    </row>
    <row r="170" spans="3:6" ht="15" x14ac:dyDescent="0.25">
      <c r="C170" s="76">
        <f>C168*C169</f>
        <v>26180.711199999998</v>
      </c>
      <c r="D170" s="46" t="s">
        <v>84</v>
      </c>
      <c r="F170" s="45" t="s">
        <v>169</v>
      </c>
    </row>
    <row r="171" spans="3:6" ht="15" x14ac:dyDescent="0.25">
      <c r="C171" s="107">
        <f>(323.67+0)/2</f>
        <v>161.83500000000001</v>
      </c>
      <c r="D171" s="46" t="s">
        <v>11</v>
      </c>
      <c r="F171" s="45" t="s">
        <v>170</v>
      </c>
    </row>
    <row r="172" spans="3:6" ht="15" x14ac:dyDescent="0.25">
      <c r="C172" s="107">
        <v>23.86</v>
      </c>
      <c r="D172" s="46" t="s">
        <v>10</v>
      </c>
      <c r="F172" s="45" t="s">
        <v>171</v>
      </c>
    </row>
    <row r="173" spans="3:6" ht="15" x14ac:dyDescent="0.25">
      <c r="C173" s="76">
        <f>C171*C172</f>
        <v>3861.3831</v>
      </c>
      <c r="D173" s="46" t="s">
        <v>84</v>
      </c>
      <c r="F173" s="45" t="s">
        <v>172</v>
      </c>
    </row>
    <row r="174" spans="3:6" x14ac:dyDescent="0.2">
      <c r="C174"/>
      <c r="D174" s="46"/>
      <c r="F174" s="45"/>
    </row>
    <row r="175" spans="3:6" x14ac:dyDescent="0.2">
      <c r="C175" s="79">
        <f>C158+C161+C164+C167+C170+C173</f>
        <v>261464.54490000001</v>
      </c>
      <c r="D175" s="46" t="s">
        <v>84</v>
      </c>
      <c r="F175" s="45" t="s">
        <v>85</v>
      </c>
    </row>
    <row r="176" spans="3:6" x14ac:dyDescent="0.2">
      <c r="D176" s="46"/>
      <c r="F176" s="45"/>
    </row>
    <row r="177" spans="1:6" x14ac:dyDescent="0.2">
      <c r="F177" s="2"/>
    </row>
    <row r="178" spans="1:6" x14ac:dyDescent="0.2">
      <c r="A178" s="64">
        <v>203</v>
      </c>
      <c r="B178" s="60" t="s">
        <v>121</v>
      </c>
      <c r="C178" s="64">
        <f>ROUNDUP(C196/27,)</f>
        <v>451</v>
      </c>
      <c r="D178" s="60" t="s">
        <v>6</v>
      </c>
      <c r="E178" s="65"/>
      <c r="F178" s="55" t="s">
        <v>125</v>
      </c>
    </row>
    <row r="179" spans="1:6" x14ac:dyDescent="0.2">
      <c r="F179" s="2"/>
    </row>
    <row r="180" spans="1:6" ht="15" x14ac:dyDescent="0.25">
      <c r="C180" s="107">
        <f>(170.94+170.94)/2</f>
        <v>170.94</v>
      </c>
      <c r="D180" s="46" t="s">
        <v>11</v>
      </c>
      <c r="F180" s="45" t="s">
        <v>145</v>
      </c>
    </row>
    <row r="181" spans="1:6" ht="15" x14ac:dyDescent="0.25">
      <c r="C181" s="107">
        <v>42.82</v>
      </c>
      <c r="D181" s="46" t="s">
        <v>10</v>
      </c>
      <c r="F181" s="45" t="s">
        <v>146</v>
      </c>
    </row>
    <row r="182" spans="1:6" ht="15" x14ac:dyDescent="0.25">
      <c r="C182" s="76">
        <f>C180*C181</f>
        <v>7319.6508000000003</v>
      </c>
      <c r="D182" s="46" t="s">
        <v>84</v>
      </c>
      <c r="F182" s="45" t="s">
        <v>147</v>
      </c>
    </row>
    <row r="183" spans="1:6" ht="15" x14ac:dyDescent="0.25">
      <c r="C183" s="107">
        <v>0</v>
      </c>
      <c r="D183" s="46" t="s">
        <v>11</v>
      </c>
      <c r="F183" s="45" t="s">
        <v>148</v>
      </c>
    </row>
    <row r="184" spans="1:6" ht="15" x14ac:dyDescent="0.25">
      <c r="C184" s="107">
        <v>52.16</v>
      </c>
      <c r="D184" s="46" t="s">
        <v>10</v>
      </c>
      <c r="F184" s="45" t="s">
        <v>149</v>
      </c>
    </row>
    <row r="185" spans="1:6" ht="15" x14ac:dyDescent="0.25">
      <c r="C185" s="76">
        <f>C183*C184</f>
        <v>0</v>
      </c>
      <c r="D185" s="46" t="s">
        <v>84</v>
      </c>
      <c r="F185" s="45" t="s">
        <v>150</v>
      </c>
    </row>
    <row r="186" spans="1:6" ht="15" x14ac:dyDescent="0.25">
      <c r="C186" s="107">
        <v>0</v>
      </c>
      <c r="D186" s="46" t="s">
        <v>11</v>
      </c>
      <c r="F186" s="45" t="s">
        <v>151</v>
      </c>
    </row>
    <row r="187" spans="1:6" ht="15" x14ac:dyDescent="0.25">
      <c r="C187" s="107">
        <v>50</v>
      </c>
      <c r="D187" s="46" t="s">
        <v>10</v>
      </c>
      <c r="F187" s="45" t="s">
        <v>152</v>
      </c>
    </row>
    <row r="188" spans="1:6" ht="15" x14ac:dyDescent="0.25">
      <c r="C188" s="76">
        <f>C186*C187</f>
        <v>0</v>
      </c>
      <c r="D188" s="46" t="s">
        <v>84</v>
      </c>
      <c r="F188" s="45" t="s">
        <v>153</v>
      </c>
    </row>
    <row r="189" spans="1:6" ht="15" x14ac:dyDescent="0.25">
      <c r="C189" s="107">
        <f>(0+82.34)/2</f>
        <v>41.17</v>
      </c>
      <c r="D189" s="46" t="s">
        <v>11</v>
      </c>
      <c r="F189" s="45" t="s">
        <v>154</v>
      </c>
    </row>
    <row r="190" spans="1:6" ht="15" x14ac:dyDescent="0.25">
      <c r="C190" s="107">
        <v>50</v>
      </c>
      <c r="D190" s="46" t="s">
        <v>10</v>
      </c>
      <c r="F190" s="45" t="s">
        <v>155</v>
      </c>
    </row>
    <row r="191" spans="1:6" ht="15" x14ac:dyDescent="0.25">
      <c r="C191" s="76">
        <f>C189*C190</f>
        <v>2058.5</v>
      </c>
      <c r="D191" s="46" t="s">
        <v>84</v>
      </c>
      <c r="F191" s="45" t="s">
        <v>156</v>
      </c>
    </row>
    <row r="192" spans="1:6" ht="15" x14ac:dyDescent="0.25">
      <c r="C192" s="107">
        <f>(82.34+44.03)/2</f>
        <v>63.185000000000002</v>
      </c>
      <c r="D192" s="46" t="s">
        <v>11</v>
      </c>
      <c r="F192" s="45" t="s">
        <v>157</v>
      </c>
    </row>
    <row r="193" spans="1:7" ht="15" x14ac:dyDescent="0.25">
      <c r="C193" s="107">
        <v>43.89</v>
      </c>
      <c r="D193" s="46" t="s">
        <v>10</v>
      </c>
      <c r="F193" s="45" t="s">
        <v>158</v>
      </c>
    </row>
    <row r="194" spans="1:7" ht="15" x14ac:dyDescent="0.25">
      <c r="C194" s="76">
        <f>C192*C193</f>
        <v>2773.1896500000003</v>
      </c>
      <c r="D194" s="46" t="s">
        <v>84</v>
      </c>
      <c r="F194" s="45" t="s">
        <v>159</v>
      </c>
    </row>
    <row r="195" spans="1:7" x14ac:dyDescent="0.2">
      <c r="C195"/>
      <c r="D195" s="46"/>
      <c r="F195" s="45"/>
    </row>
    <row r="196" spans="1:7" x14ac:dyDescent="0.2">
      <c r="C196" s="79">
        <f>C182+C185+C188+C191+C194</f>
        <v>12151.34045</v>
      </c>
      <c r="D196" s="46" t="s">
        <v>84</v>
      </c>
      <c r="F196" s="45" t="s">
        <v>85</v>
      </c>
    </row>
    <row r="197" spans="1:7" x14ac:dyDescent="0.2">
      <c r="F197" s="2"/>
    </row>
    <row r="198" spans="1:7" x14ac:dyDescent="0.2">
      <c r="A198" s="56">
        <v>511</v>
      </c>
      <c r="B198" s="56">
        <v>71200</v>
      </c>
      <c r="C198" s="64">
        <f>ROUNDUP(C200,)</f>
        <v>5058</v>
      </c>
      <c r="D198" s="57" t="s">
        <v>11</v>
      </c>
      <c r="E198" s="56"/>
      <c r="F198" s="61" t="s">
        <v>81</v>
      </c>
      <c r="G198" s="1" t="s">
        <v>58</v>
      </c>
    </row>
    <row r="199" spans="1:7" x14ac:dyDescent="0.2">
      <c r="F199" s="2"/>
    </row>
    <row r="200" spans="1:7" ht="15" x14ac:dyDescent="0.25">
      <c r="C200" s="120">
        <v>5058</v>
      </c>
      <c r="D200" s="59" t="s">
        <v>11</v>
      </c>
      <c r="E200" s="46"/>
      <c r="F200" s="45" t="s">
        <v>177</v>
      </c>
    </row>
    <row r="201" spans="1:7" ht="15" x14ac:dyDescent="0.25">
      <c r="C201" s="76"/>
      <c r="D201" s="59"/>
      <c r="F201" s="45"/>
    </row>
    <row r="202" spans="1:7" x14ac:dyDescent="0.2">
      <c r="F202" s="2"/>
    </row>
    <row r="203" spans="1:7" x14ac:dyDescent="0.2">
      <c r="A203" s="91">
        <v>511</v>
      </c>
      <c r="B203" s="92">
        <v>46510</v>
      </c>
      <c r="C203" s="64">
        <f>C205</f>
        <v>121</v>
      </c>
      <c r="D203" s="92" t="s">
        <v>10</v>
      </c>
      <c r="E203" s="91"/>
      <c r="F203" s="52" t="s">
        <v>181</v>
      </c>
      <c r="G203" s="1" t="s">
        <v>58</v>
      </c>
    </row>
    <row r="204" spans="1:7" x14ac:dyDescent="0.2">
      <c r="F204" s="2"/>
    </row>
    <row r="205" spans="1:7" ht="15" x14ac:dyDescent="0.25">
      <c r="C205" s="76">
        <v>121</v>
      </c>
      <c r="D205" s="1" t="s">
        <v>10</v>
      </c>
      <c r="F205" s="45" t="s">
        <v>182</v>
      </c>
    </row>
    <row r="206" spans="1:7" x14ac:dyDescent="0.2">
      <c r="F206" s="2"/>
    </row>
    <row r="207" spans="1:7" x14ac:dyDescent="0.2">
      <c r="F207" s="2"/>
    </row>
    <row r="208" spans="1:7" x14ac:dyDescent="0.2">
      <c r="A208" s="86">
        <v>512</v>
      </c>
      <c r="B208" s="86">
        <v>10001</v>
      </c>
      <c r="C208" s="86">
        <f>ROUNDUP(C219/9,)</f>
        <v>2327</v>
      </c>
      <c r="D208" s="86" t="s">
        <v>9</v>
      </c>
      <c r="E208" s="86"/>
      <c r="F208" s="87" t="s">
        <v>78</v>
      </c>
    </row>
    <row r="209" spans="1:7" x14ac:dyDescent="0.2">
      <c r="A209" s="88"/>
      <c r="B209" s="88"/>
      <c r="C209" s="88"/>
      <c r="D209" s="88"/>
      <c r="E209" s="88"/>
      <c r="F209" s="89"/>
    </row>
    <row r="210" spans="1:7" x14ac:dyDescent="0.2">
      <c r="A210" s="88"/>
      <c r="B210" s="88"/>
      <c r="C210" s="88">
        <v>18863.060000000001</v>
      </c>
      <c r="D210" s="88" t="s">
        <v>11</v>
      </c>
      <c r="E210" s="88"/>
      <c r="F210" s="89" t="s">
        <v>87</v>
      </c>
    </row>
    <row r="211" spans="1:7" x14ac:dyDescent="0.2">
      <c r="A211" s="88"/>
      <c r="B211" s="88"/>
      <c r="C211" s="88"/>
      <c r="D211" s="88"/>
      <c r="E211" s="88"/>
      <c r="F211" s="89"/>
    </row>
    <row r="212" spans="1:7" ht="15" x14ac:dyDescent="0.25">
      <c r="A212" s="88"/>
      <c r="B212" s="88"/>
      <c r="C212" s="90">
        <v>2</v>
      </c>
      <c r="D212" s="88" t="s">
        <v>10</v>
      </c>
      <c r="E212" s="88"/>
      <c r="F212" s="89" t="s">
        <v>88</v>
      </c>
    </row>
    <row r="213" spans="1:7" ht="15" x14ac:dyDescent="0.25">
      <c r="A213" s="88"/>
      <c r="B213" s="88"/>
      <c r="C213" s="90">
        <v>1</v>
      </c>
      <c r="D213" s="88" t="s">
        <v>10</v>
      </c>
      <c r="E213" s="88"/>
      <c r="F213" s="89" t="s">
        <v>89</v>
      </c>
    </row>
    <row r="214" spans="1:7" ht="15" x14ac:dyDescent="0.25">
      <c r="A214" s="88"/>
      <c r="B214" s="88"/>
      <c r="C214" s="90">
        <v>0.5</v>
      </c>
      <c r="D214" s="88" t="s">
        <v>10</v>
      </c>
      <c r="E214" s="88"/>
      <c r="F214" s="89" t="s">
        <v>90</v>
      </c>
    </row>
    <row r="215" spans="1:7" ht="15" x14ac:dyDescent="0.25">
      <c r="A215" s="88"/>
      <c r="B215" s="88"/>
      <c r="C215" s="90">
        <v>593.12</v>
      </c>
      <c r="D215" s="88" t="s">
        <v>10</v>
      </c>
      <c r="E215" s="88"/>
      <c r="F215" s="89" t="s">
        <v>93</v>
      </c>
    </row>
    <row r="216" spans="1:7" x14ac:dyDescent="0.2">
      <c r="A216" s="88"/>
      <c r="B216" s="88"/>
      <c r="C216" s="88"/>
      <c r="D216" s="88"/>
      <c r="E216" s="88"/>
      <c r="F216" s="89"/>
    </row>
    <row r="217" spans="1:7" x14ac:dyDescent="0.2">
      <c r="A217" s="88"/>
      <c r="B217" s="88"/>
      <c r="C217" s="88">
        <f>(C212+C213+C214)*C215</f>
        <v>2075.92</v>
      </c>
      <c r="D217" s="88" t="s">
        <v>11</v>
      </c>
      <c r="E217" s="88"/>
      <c r="F217" s="89" t="s">
        <v>91</v>
      </c>
    </row>
    <row r="218" spans="1:7" x14ac:dyDescent="0.2">
      <c r="A218" s="88"/>
      <c r="B218" s="88"/>
      <c r="C218" s="88"/>
      <c r="D218" s="88"/>
      <c r="E218" s="88"/>
      <c r="F218" s="89"/>
    </row>
    <row r="219" spans="1:7" x14ac:dyDescent="0.2">
      <c r="A219" s="88"/>
      <c r="B219" s="88"/>
      <c r="C219" s="88">
        <f>C210+C217</f>
        <v>20938.980000000003</v>
      </c>
      <c r="D219" s="88" t="s">
        <v>11</v>
      </c>
      <c r="E219" s="88"/>
      <c r="F219" s="89" t="s">
        <v>92</v>
      </c>
    </row>
    <row r="220" spans="1:7" x14ac:dyDescent="0.2">
      <c r="F220" s="2"/>
    </row>
    <row r="221" spans="1:7" x14ac:dyDescent="0.2">
      <c r="A221" s="56">
        <v>512</v>
      </c>
      <c r="B221" s="56">
        <v>10100</v>
      </c>
      <c r="C221" s="56">
        <f>ROUNDUP(C235/9,)</f>
        <v>2080</v>
      </c>
      <c r="D221" s="56" t="s">
        <v>9</v>
      </c>
      <c r="E221" s="56"/>
      <c r="F221" s="55" t="s">
        <v>79</v>
      </c>
      <c r="G221" s="1" t="s">
        <v>58</v>
      </c>
    </row>
    <row r="222" spans="1:7" x14ac:dyDescent="0.2">
      <c r="F222" s="2"/>
    </row>
    <row r="223" spans="1:7" ht="15" x14ac:dyDescent="0.25">
      <c r="C223" s="76">
        <v>14222</v>
      </c>
      <c r="D223" s="1" t="s">
        <v>11</v>
      </c>
      <c r="F223" s="45" t="s">
        <v>176</v>
      </c>
    </row>
    <row r="224" spans="1:7" x14ac:dyDescent="0.2">
      <c r="F224" s="2"/>
    </row>
    <row r="225" spans="1:7" ht="15" x14ac:dyDescent="0.25">
      <c r="C225" s="76">
        <v>2</v>
      </c>
      <c r="D225" s="1" t="s">
        <v>10</v>
      </c>
      <c r="F225" s="2" t="s">
        <v>88</v>
      </c>
    </row>
    <row r="226" spans="1:7" ht="15" x14ac:dyDescent="0.25">
      <c r="C226" s="76">
        <v>0.83</v>
      </c>
      <c r="D226" s="1" t="s">
        <v>10</v>
      </c>
      <c r="F226" s="2" t="s">
        <v>89</v>
      </c>
    </row>
    <row r="227" spans="1:7" ht="15" x14ac:dyDescent="0.25">
      <c r="C227" s="76">
        <v>8</v>
      </c>
      <c r="D227" s="46" t="s">
        <v>10</v>
      </c>
      <c r="F227" s="45" t="s">
        <v>119</v>
      </c>
    </row>
    <row r="228" spans="1:7" ht="15" x14ac:dyDescent="0.25">
      <c r="C228" s="76">
        <f>70560.87-70037.95</f>
        <v>522.91999999999825</v>
      </c>
      <c r="D228" s="46" t="s">
        <v>10</v>
      </c>
      <c r="F228" s="45" t="s">
        <v>101</v>
      </c>
    </row>
    <row r="229" spans="1:7" ht="15" x14ac:dyDescent="0.25">
      <c r="C229" s="76">
        <f>C350</f>
        <v>371.79</v>
      </c>
      <c r="D229" s="46" t="s">
        <v>10</v>
      </c>
      <c r="F229" s="45" t="s">
        <v>116</v>
      </c>
    </row>
    <row r="230" spans="1:7" ht="15" x14ac:dyDescent="0.25">
      <c r="C230" s="76">
        <v>0.5</v>
      </c>
      <c r="D230" s="1" t="s">
        <v>10</v>
      </c>
      <c r="F230" s="45" t="s">
        <v>117</v>
      </c>
    </row>
    <row r="231" spans="1:7" ht="15" x14ac:dyDescent="0.25">
      <c r="C231" s="76">
        <f>C361/2</f>
        <v>75.680000000000007</v>
      </c>
      <c r="D231" s="1" t="s">
        <v>10</v>
      </c>
      <c r="F231" s="45" t="s">
        <v>118</v>
      </c>
    </row>
    <row r="232" spans="1:7" x14ac:dyDescent="0.2">
      <c r="F232" s="2"/>
    </row>
    <row r="233" spans="1:7" x14ac:dyDescent="0.2">
      <c r="C233" s="1">
        <f>((C225+C226)*C228)+(C227*C229)+(C230*C231)</f>
        <v>4492.023599999995</v>
      </c>
      <c r="D233" s="1" t="s">
        <v>11</v>
      </c>
      <c r="F233" s="2" t="s">
        <v>91</v>
      </c>
    </row>
    <row r="234" spans="1:7" x14ac:dyDescent="0.2">
      <c r="F234" s="2"/>
    </row>
    <row r="235" spans="1:7" x14ac:dyDescent="0.2">
      <c r="C235" s="1">
        <f>C223+C233</f>
        <v>18714.023599999993</v>
      </c>
      <c r="D235" s="1" t="s">
        <v>11</v>
      </c>
      <c r="F235" s="2" t="s">
        <v>92</v>
      </c>
    </row>
    <row r="236" spans="1:7" x14ac:dyDescent="0.2">
      <c r="F236" s="2"/>
    </row>
    <row r="237" spans="1:7" x14ac:dyDescent="0.2">
      <c r="A237" s="56">
        <v>840</v>
      </c>
      <c r="B237" s="56">
        <v>20001</v>
      </c>
      <c r="C237" s="56">
        <f>ROUNDUP(C239,)</f>
        <v>17809</v>
      </c>
      <c r="D237" s="56" t="s">
        <v>11</v>
      </c>
      <c r="E237" s="56"/>
      <c r="F237" s="55" t="s">
        <v>67</v>
      </c>
      <c r="G237" s="1" t="s">
        <v>58</v>
      </c>
    </row>
    <row r="238" spans="1:7" x14ac:dyDescent="0.2">
      <c r="F238" s="2"/>
    </row>
    <row r="239" spans="1:7" ht="15" x14ac:dyDescent="0.25">
      <c r="C239" s="76">
        <v>17809</v>
      </c>
      <c r="D239" s="59" t="s">
        <v>11</v>
      </c>
      <c r="F239" s="45" t="s">
        <v>111</v>
      </c>
    </row>
    <row r="240" spans="1:7" x14ac:dyDescent="0.2">
      <c r="D240" s="46"/>
      <c r="F240" s="45"/>
    </row>
    <row r="241" spans="1:7" x14ac:dyDescent="0.2">
      <c r="A241" s="56">
        <v>840</v>
      </c>
      <c r="B241" s="56">
        <v>21000</v>
      </c>
      <c r="C241" s="56">
        <f>ROUNDUP(C275/27,)</f>
        <v>4995</v>
      </c>
      <c r="D241" s="56" t="s">
        <v>6</v>
      </c>
      <c r="E241" s="56"/>
      <c r="F241" s="63" t="s">
        <v>68</v>
      </c>
      <c r="G241" s="1" t="s">
        <v>58</v>
      </c>
    </row>
    <row r="242" spans="1:7" x14ac:dyDescent="0.2">
      <c r="F242" s="2"/>
    </row>
    <row r="243" spans="1:7" ht="15" x14ac:dyDescent="0.25">
      <c r="C243" s="107">
        <f>(293.49+293.49)/2</f>
        <v>293.49</v>
      </c>
      <c r="D243" s="46" t="s">
        <v>11</v>
      </c>
      <c r="F243" s="45" t="s">
        <v>145</v>
      </c>
    </row>
    <row r="244" spans="1:7" ht="15" x14ac:dyDescent="0.25">
      <c r="C244" s="107">
        <v>42.82</v>
      </c>
      <c r="D244" s="46" t="s">
        <v>10</v>
      </c>
      <c r="F244" s="45" t="s">
        <v>146</v>
      </c>
    </row>
    <row r="245" spans="1:7" ht="15" x14ac:dyDescent="0.25">
      <c r="C245" s="76">
        <f>C243*C244</f>
        <v>12567.2418</v>
      </c>
      <c r="D245" s="46" t="s">
        <v>84</v>
      </c>
      <c r="F245" s="45" t="s">
        <v>147</v>
      </c>
    </row>
    <row r="246" spans="1:7" ht="15" x14ac:dyDescent="0.25">
      <c r="C246" s="107">
        <f>(293.49+414.43)/2</f>
        <v>353.96000000000004</v>
      </c>
      <c r="D246" s="46" t="s">
        <v>11</v>
      </c>
      <c r="F246" s="45" t="s">
        <v>148</v>
      </c>
    </row>
    <row r="247" spans="1:7" ht="15" x14ac:dyDescent="0.25">
      <c r="C247" s="107">
        <v>52.16</v>
      </c>
      <c r="D247" s="46" t="s">
        <v>10</v>
      </c>
      <c r="F247" s="45" t="s">
        <v>149</v>
      </c>
    </row>
    <row r="248" spans="1:7" ht="15" x14ac:dyDescent="0.25">
      <c r="C248" s="76">
        <f>C246*C247</f>
        <v>18462.553599999999</v>
      </c>
      <c r="D248" s="46" t="s">
        <v>84</v>
      </c>
      <c r="F248" s="45" t="s">
        <v>150</v>
      </c>
    </row>
    <row r="249" spans="1:7" ht="15" x14ac:dyDescent="0.25">
      <c r="C249" s="107">
        <f>(414.43+402.21)/2</f>
        <v>408.32</v>
      </c>
      <c r="D249" s="46" t="s">
        <v>11</v>
      </c>
      <c r="F249" s="45" t="s">
        <v>151</v>
      </c>
    </row>
    <row r="250" spans="1:7" ht="15" x14ac:dyDescent="0.25">
      <c r="C250" s="107">
        <v>50</v>
      </c>
      <c r="D250" s="46" t="s">
        <v>10</v>
      </c>
      <c r="F250" s="45" t="s">
        <v>152</v>
      </c>
    </row>
    <row r="251" spans="1:7" ht="15" x14ac:dyDescent="0.25">
      <c r="C251" s="76">
        <f>C249*C250</f>
        <v>20416</v>
      </c>
      <c r="D251" s="46" t="s">
        <v>84</v>
      </c>
      <c r="F251" s="45" t="s">
        <v>153</v>
      </c>
    </row>
    <row r="252" spans="1:7" ht="15" x14ac:dyDescent="0.25">
      <c r="C252" s="107">
        <f>(402.21+469.48)/2</f>
        <v>435.84500000000003</v>
      </c>
      <c r="D252" s="46" t="s">
        <v>11</v>
      </c>
      <c r="F252" s="45" t="s">
        <v>154</v>
      </c>
    </row>
    <row r="253" spans="1:7" ht="15" x14ac:dyDescent="0.25">
      <c r="C253" s="107">
        <v>50</v>
      </c>
      <c r="D253" s="46" t="s">
        <v>10</v>
      </c>
      <c r="F253" s="45" t="s">
        <v>155</v>
      </c>
    </row>
    <row r="254" spans="1:7" ht="15" x14ac:dyDescent="0.25">
      <c r="C254" s="76">
        <f>C252*C253</f>
        <v>21792.25</v>
      </c>
      <c r="D254" s="46" t="s">
        <v>84</v>
      </c>
      <c r="F254" s="45" t="s">
        <v>156</v>
      </c>
    </row>
    <row r="255" spans="1:7" ht="15" x14ac:dyDescent="0.25">
      <c r="C255" s="107">
        <f>(469.48+377.37)/2</f>
        <v>423.42500000000001</v>
      </c>
      <c r="D255" s="46" t="s">
        <v>11</v>
      </c>
      <c r="F255" s="45" t="s">
        <v>157</v>
      </c>
    </row>
    <row r="256" spans="1:7" ht="15" x14ac:dyDescent="0.25">
      <c r="C256" s="107">
        <v>43.89</v>
      </c>
      <c r="D256" s="46" t="s">
        <v>10</v>
      </c>
      <c r="F256" s="45" t="s">
        <v>158</v>
      </c>
    </row>
    <row r="257" spans="3:6" ht="15" x14ac:dyDescent="0.25">
      <c r="C257" s="76">
        <f>C255*C256</f>
        <v>18584.123250000001</v>
      </c>
      <c r="D257" s="46" t="s">
        <v>84</v>
      </c>
      <c r="F257" s="45" t="s">
        <v>159</v>
      </c>
    </row>
    <row r="258" spans="3:6" ht="15" x14ac:dyDescent="0.25">
      <c r="C258" s="107"/>
      <c r="D258" s="46"/>
      <c r="F258" s="45"/>
    </row>
    <row r="259" spans="3:6" ht="15" x14ac:dyDescent="0.25">
      <c r="C259" s="107">
        <f>(254.9+228.95)/2</f>
        <v>241.92500000000001</v>
      </c>
      <c r="D259" s="46" t="s">
        <v>11</v>
      </c>
      <c r="F259" s="45" t="s">
        <v>130</v>
      </c>
    </row>
    <row r="260" spans="3:6" ht="15" x14ac:dyDescent="0.25">
      <c r="C260" s="107">
        <v>50</v>
      </c>
      <c r="D260" s="46" t="s">
        <v>10</v>
      </c>
      <c r="F260" s="45" t="s">
        <v>131</v>
      </c>
    </row>
    <row r="261" spans="3:6" ht="15" x14ac:dyDescent="0.25">
      <c r="C261" s="76">
        <f>C259*C260</f>
        <v>12096.25</v>
      </c>
      <c r="D261" s="46" t="s">
        <v>84</v>
      </c>
      <c r="F261" s="45" t="s">
        <v>132</v>
      </c>
    </row>
    <row r="262" spans="3:6" ht="15" x14ac:dyDescent="0.25">
      <c r="C262" s="107">
        <f>(228.95+308)/2</f>
        <v>268.47500000000002</v>
      </c>
      <c r="D262" s="46" t="s">
        <v>11</v>
      </c>
      <c r="F262" s="45" t="s">
        <v>133</v>
      </c>
    </row>
    <row r="263" spans="3:6" ht="15" x14ac:dyDescent="0.25">
      <c r="C263" s="107">
        <v>50</v>
      </c>
      <c r="D263" s="46" t="s">
        <v>10</v>
      </c>
      <c r="F263" s="45" t="s">
        <v>134</v>
      </c>
    </row>
    <row r="264" spans="3:6" ht="15" x14ac:dyDescent="0.25">
      <c r="C264" s="77">
        <f>C262*C263</f>
        <v>13423.750000000002</v>
      </c>
      <c r="D264" s="46" t="s">
        <v>84</v>
      </c>
      <c r="F264" s="45" t="s">
        <v>135</v>
      </c>
    </row>
    <row r="265" spans="3:6" ht="15" x14ac:dyDescent="0.25">
      <c r="C265" s="107">
        <f>(308+140.14)/2</f>
        <v>224.07</v>
      </c>
      <c r="D265" s="46" t="s">
        <v>11</v>
      </c>
      <c r="F265" s="45" t="s">
        <v>136</v>
      </c>
    </row>
    <row r="266" spans="3:6" ht="15" x14ac:dyDescent="0.25">
      <c r="C266" s="107">
        <v>50</v>
      </c>
      <c r="D266" s="46" t="s">
        <v>10</v>
      </c>
      <c r="F266" s="45" t="s">
        <v>137</v>
      </c>
    </row>
    <row r="267" spans="3:6" ht="15" x14ac:dyDescent="0.25">
      <c r="C267" s="76">
        <f>C265*C266</f>
        <v>11203.5</v>
      </c>
      <c r="D267" s="46" t="s">
        <v>84</v>
      </c>
      <c r="F267" s="45" t="s">
        <v>138</v>
      </c>
    </row>
    <row r="268" spans="3:6" ht="15" x14ac:dyDescent="0.25">
      <c r="C268" s="107">
        <f>(140.14+79.53)/2</f>
        <v>109.83499999999999</v>
      </c>
      <c r="D268" s="46" t="s">
        <v>11</v>
      </c>
      <c r="F268" s="45" t="s">
        <v>139</v>
      </c>
    </row>
    <row r="269" spans="3:6" ht="15" x14ac:dyDescent="0.25">
      <c r="C269" s="107">
        <v>50</v>
      </c>
      <c r="D269" s="46" t="s">
        <v>10</v>
      </c>
      <c r="F269" s="45" t="s">
        <v>140</v>
      </c>
    </row>
    <row r="270" spans="3:6" ht="15" x14ac:dyDescent="0.25">
      <c r="C270" s="76">
        <f>C268*C269</f>
        <v>5491.75</v>
      </c>
      <c r="D270" s="46" t="s">
        <v>84</v>
      </c>
      <c r="F270" s="45" t="s">
        <v>141</v>
      </c>
    </row>
    <row r="271" spans="3:6" ht="15" x14ac:dyDescent="0.25">
      <c r="C271" s="107">
        <f>(79.53+79.53)/2</f>
        <v>79.53</v>
      </c>
      <c r="D271" s="46" t="s">
        <v>11</v>
      </c>
      <c r="F271" s="45" t="s">
        <v>143</v>
      </c>
    </row>
    <row r="272" spans="3:6" ht="15" x14ac:dyDescent="0.25">
      <c r="C272" s="107">
        <v>10.08</v>
      </c>
      <c r="D272" s="46" t="s">
        <v>10</v>
      </c>
      <c r="F272" s="45" t="s">
        <v>142</v>
      </c>
    </row>
    <row r="273" spans="1:7" ht="15" x14ac:dyDescent="0.25">
      <c r="C273" s="76">
        <f>C271*C272</f>
        <v>801.66240000000005</v>
      </c>
      <c r="D273" s="46" t="s">
        <v>84</v>
      </c>
      <c r="F273" s="45" t="s">
        <v>144</v>
      </c>
    </row>
    <row r="274" spans="1:7" s="23" customFormat="1" ht="15" x14ac:dyDescent="0.25">
      <c r="C274" s="107"/>
      <c r="D274" s="58"/>
      <c r="F274" s="62"/>
    </row>
    <row r="275" spans="1:7" x14ac:dyDescent="0.2">
      <c r="C275" s="78">
        <f>C245+C248+C251+C254+C257+C261+C264+C267+C270+C273</f>
        <v>134839.08105000001</v>
      </c>
      <c r="D275" s="1" t="s">
        <v>84</v>
      </c>
      <c r="F275" s="45" t="s">
        <v>160</v>
      </c>
    </row>
    <row r="276" spans="1:7" x14ac:dyDescent="0.2">
      <c r="F276" s="2"/>
    </row>
    <row r="277" spans="1:7" x14ac:dyDescent="0.2">
      <c r="A277" s="56">
        <v>840</v>
      </c>
      <c r="B277" s="56">
        <v>22000</v>
      </c>
      <c r="C277" s="56">
        <f>ROUNDUP(C279/9,)</f>
        <v>1485</v>
      </c>
      <c r="D277" s="56" t="s">
        <v>9</v>
      </c>
      <c r="E277" s="56"/>
      <c r="F277" s="63" t="s">
        <v>69</v>
      </c>
      <c r="G277" s="1" t="s">
        <v>58</v>
      </c>
    </row>
    <row r="278" spans="1:7" x14ac:dyDescent="0.2">
      <c r="F278" s="2"/>
    </row>
    <row r="279" spans="1:7" x14ac:dyDescent="0.2">
      <c r="C279" s="79">
        <v>13356.28</v>
      </c>
      <c r="D279" s="1" t="s">
        <v>11</v>
      </c>
      <c r="F279" s="45" t="s">
        <v>94</v>
      </c>
    </row>
    <row r="280" spans="1:7" x14ac:dyDescent="0.2">
      <c r="F280" s="2"/>
    </row>
    <row r="281" spans="1:7" x14ac:dyDescent="0.2">
      <c r="F281" s="2"/>
    </row>
    <row r="282" spans="1:7" x14ac:dyDescent="0.2">
      <c r="A282" s="56">
        <v>840</v>
      </c>
      <c r="B282" s="56">
        <v>23000</v>
      </c>
      <c r="C282" s="56">
        <f>ROUNDUP(C303/27,)</f>
        <v>2660</v>
      </c>
      <c r="D282" s="57" t="s">
        <v>6</v>
      </c>
      <c r="E282" s="56"/>
      <c r="F282" s="61" t="s">
        <v>70</v>
      </c>
      <c r="G282" s="1" t="s">
        <v>58</v>
      </c>
    </row>
    <row r="283" spans="1:7" x14ac:dyDescent="0.2">
      <c r="F283" s="2"/>
    </row>
    <row r="284" spans="1:7" ht="15" x14ac:dyDescent="0.25">
      <c r="C284" s="107">
        <f>(0+688.58)/2</f>
        <v>344.29</v>
      </c>
      <c r="D284" s="46" t="s">
        <v>11</v>
      </c>
      <c r="F284" s="45" t="s">
        <v>161</v>
      </c>
    </row>
    <row r="285" spans="1:7" ht="15" x14ac:dyDescent="0.25">
      <c r="C285" s="107">
        <v>28.18</v>
      </c>
      <c r="D285" s="46" t="s">
        <v>10</v>
      </c>
      <c r="F285" s="45" t="s">
        <v>162</v>
      </c>
    </row>
    <row r="286" spans="1:7" ht="15" x14ac:dyDescent="0.25">
      <c r="C286" s="76">
        <f>C284*C285</f>
        <v>9702.092200000001</v>
      </c>
      <c r="D286" s="46" t="s">
        <v>84</v>
      </c>
      <c r="F286" s="45" t="s">
        <v>163</v>
      </c>
    </row>
    <row r="287" spans="1:7" ht="15" x14ac:dyDescent="0.25">
      <c r="C287" s="107">
        <f>(688.58+473.31)/2</f>
        <v>580.94500000000005</v>
      </c>
      <c r="D287" s="46" t="s">
        <v>11</v>
      </c>
      <c r="F287" s="45" t="s">
        <v>164</v>
      </c>
    </row>
    <row r="288" spans="1:7" ht="15" x14ac:dyDescent="0.25">
      <c r="C288" s="107">
        <v>32.76</v>
      </c>
      <c r="D288" s="46" t="s">
        <v>10</v>
      </c>
      <c r="F288" s="45" t="s">
        <v>165</v>
      </c>
    </row>
    <row r="289" spans="3:6" ht="15" x14ac:dyDescent="0.25">
      <c r="C289" s="76">
        <f>C287*C288</f>
        <v>19031.7582</v>
      </c>
      <c r="D289" s="46" t="s">
        <v>84</v>
      </c>
      <c r="F289" s="45" t="s">
        <v>166</v>
      </c>
    </row>
    <row r="290" spans="3:6" ht="15" x14ac:dyDescent="0.25">
      <c r="C290" s="107">
        <f>(473.31+417.37)/2</f>
        <v>445.34000000000003</v>
      </c>
      <c r="D290" s="46" t="s">
        <v>11</v>
      </c>
      <c r="F290" s="45" t="s">
        <v>133</v>
      </c>
    </row>
    <row r="291" spans="3:6" ht="15" x14ac:dyDescent="0.25">
      <c r="C291" s="107">
        <v>50</v>
      </c>
      <c r="D291" s="46" t="s">
        <v>10</v>
      </c>
      <c r="F291" s="45" t="s">
        <v>134</v>
      </c>
    </row>
    <row r="292" spans="3:6" ht="15" x14ac:dyDescent="0.25">
      <c r="C292" s="77">
        <f>C290*C291</f>
        <v>22267</v>
      </c>
      <c r="D292" s="46" t="s">
        <v>84</v>
      </c>
      <c r="F292" s="45" t="s">
        <v>135</v>
      </c>
    </row>
    <row r="293" spans="3:6" ht="15" x14ac:dyDescent="0.25">
      <c r="C293" s="107">
        <f>(417.37+153.45)/2</f>
        <v>285.40999999999997</v>
      </c>
      <c r="D293" s="46" t="s">
        <v>11</v>
      </c>
      <c r="F293" s="45" t="s">
        <v>136</v>
      </c>
    </row>
    <row r="294" spans="3:6" ht="15" x14ac:dyDescent="0.25">
      <c r="C294" s="107">
        <v>50</v>
      </c>
      <c r="D294" s="46" t="s">
        <v>10</v>
      </c>
      <c r="F294" s="45" t="s">
        <v>137</v>
      </c>
    </row>
    <row r="295" spans="3:6" ht="15" x14ac:dyDescent="0.25">
      <c r="C295" s="76">
        <f>C293*C294</f>
        <v>14270.499999999998</v>
      </c>
      <c r="D295" s="46" t="s">
        <v>84</v>
      </c>
      <c r="F295" s="45" t="s">
        <v>138</v>
      </c>
    </row>
    <row r="296" spans="3:6" ht="15" x14ac:dyDescent="0.25">
      <c r="C296" s="107">
        <f>(153.45+76.718)/2</f>
        <v>115.084</v>
      </c>
      <c r="D296" s="46" t="s">
        <v>11</v>
      </c>
      <c r="F296" s="45" t="s">
        <v>139</v>
      </c>
    </row>
    <row r="297" spans="3:6" ht="15" x14ac:dyDescent="0.25">
      <c r="C297" s="107">
        <v>50</v>
      </c>
      <c r="D297" s="46" t="s">
        <v>10</v>
      </c>
      <c r="F297" s="45" t="s">
        <v>140</v>
      </c>
    </row>
    <row r="298" spans="3:6" ht="15" x14ac:dyDescent="0.25">
      <c r="C298" s="76">
        <f>C296*C297</f>
        <v>5754.2</v>
      </c>
      <c r="D298" s="46" t="s">
        <v>84</v>
      </c>
      <c r="F298" s="45" t="s">
        <v>141</v>
      </c>
    </row>
    <row r="299" spans="3:6" ht="15" x14ac:dyDescent="0.25">
      <c r="C299" s="107">
        <f>(76.718+76.718)/2</f>
        <v>76.718000000000004</v>
      </c>
      <c r="D299" s="46" t="s">
        <v>11</v>
      </c>
      <c r="F299" s="45" t="s">
        <v>143</v>
      </c>
    </row>
    <row r="300" spans="3:6" ht="15" x14ac:dyDescent="0.25">
      <c r="C300" s="107">
        <v>10.08</v>
      </c>
      <c r="D300" s="46" t="s">
        <v>10</v>
      </c>
      <c r="F300" s="45" t="s">
        <v>142</v>
      </c>
    </row>
    <row r="301" spans="3:6" ht="15" x14ac:dyDescent="0.25">
      <c r="C301" s="76">
        <f>C299*C300</f>
        <v>773.31744000000003</v>
      </c>
      <c r="D301" s="46" t="s">
        <v>84</v>
      </c>
      <c r="F301" s="45" t="s">
        <v>144</v>
      </c>
    </row>
    <row r="302" spans="3:6" ht="15" x14ac:dyDescent="0.25">
      <c r="C302" s="107"/>
      <c r="D302" s="46"/>
      <c r="F302" s="45"/>
    </row>
    <row r="303" spans="3:6" x14ac:dyDescent="0.2">
      <c r="C303" s="78">
        <f>C286+C289+C292+C295+C298+C301</f>
        <v>71798.867840000006</v>
      </c>
      <c r="D303" s="46" t="s">
        <v>84</v>
      </c>
      <c r="F303" s="45" t="s">
        <v>86</v>
      </c>
    </row>
    <row r="304" spans="3:6" x14ac:dyDescent="0.2">
      <c r="F304" s="2"/>
    </row>
    <row r="305" spans="1:7" x14ac:dyDescent="0.2">
      <c r="A305" s="56">
        <v>840</v>
      </c>
      <c r="B305" s="56">
        <v>25010</v>
      </c>
      <c r="C305" s="56">
        <f>ROUNDUP(C310,)</f>
        <v>506</v>
      </c>
      <c r="D305" s="56" t="s">
        <v>10</v>
      </c>
      <c r="E305" s="56"/>
      <c r="F305" s="55" t="s">
        <v>71</v>
      </c>
      <c r="G305" s="1" t="s">
        <v>58</v>
      </c>
    </row>
    <row r="306" spans="1:7" x14ac:dyDescent="0.2">
      <c r="F306" s="2"/>
    </row>
    <row r="307" spans="1:7" ht="15" x14ac:dyDescent="0.25">
      <c r="C307" s="76">
        <v>481</v>
      </c>
      <c r="D307" s="1" t="s">
        <v>10</v>
      </c>
      <c r="F307" s="45" t="s">
        <v>97</v>
      </c>
    </row>
    <row r="308" spans="1:7" ht="15" x14ac:dyDescent="0.25">
      <c r="C308" s="76">
        <v>25</v>
      </c>
      <c r="D308" s="46" t="s">
        <v>10</v>
      </c>
      <c r="F308" s="45" t="s">
        <v>102</v>
      </c>
    </row>
    <row r="309" spans="1:7" x14ac:dyDescent="0.2">
      <c r="C309" s="23"/>
      <c r="D309" s="46"/>
      <c r="F309" s="45"/>
    </row>
    <row r="310" spans="1:7" x14ac:dyDescent="0.2">
      <c r="C310" s="23">
        <f>C308+C307</f>
        <v>506</v>
      </c>
      <c r="D310" s="46" t="s">
        <v>10</v>
      </c>
      <c r="F310" s="45" t="s">
        <v>98</v>
      </c>
    </row>
    <row r="311" spans="1:7" x14ac:dyDescent="0.2">
      <c r="F311" s="2"/>
    </row>
    <row r="312" spans="1:7" x14ac:dyDescent="0.2">
      <c r="A312" s="86">
        <v>840</v>
      </c>
      <c r="B312" s="86">
        <v>25020</v>
      </c>
      <c r="C312" s="86">
        <v>0</v>
      </c>
      <c r="D312" s="86" t="s">
        <v>10</v>
      </c>
      <c r="E312" s="86"/>
      <c r="F312" s="87" t="s">
        <v>72</v>
      </c>
    </row>
    <row r="313" spans="1:7" x14ac:dyDescent="0.2">
      <c r="A313" s="88"/>
      <c r="B313" s="88"/>
      <c r="C313" s="88"/>
      <c r="D313" s="88"/>
      <c r="E313" s="88"/>
      <c r="F313" s="89"/>
    </row>
    <row r="314" spans="1:7" x14ac:dyDescent="0.2">
      <c r="A314" s="88"/>
      <c r="B314" s="88"/>
      <c r="C314" s="88">
        <v>0</v>
      </c>
      <c r="D314" s="88" t="s">
        <v>10</v>
      </c>
      <c r="E314" s="88"/>
      <c r="F314" s="89" t="s">
        <v>96</v>
      </c>
    </row>
    <row r="315" spans="1:7" x14ac:dyDescent="0.2">
      <c r="F315" s="2"/>
    </row>
    <row r="316" spans="1:7" x14ac:dyDescent="0.2">
      <c r="A316" s="64">
        <v>840</v>
      </c>
      <c r="B316" s="64">
        <v>26000</v>
      </c>
      <c r="C316" s="64">
        <f>ROUNDUP(C318,)</f>
        <v>523</v>
      </c>
      <c r="D316" s="60" t="s">
        <v>10</v>
      </c>
      <c r="E316" s="65"/>
      <c r="F316" s="55" t="s">
        <v>73</v>
      </c>
      <c r="G316" s="1" t="s">
        <v>58</v>
      </c>
    </row>
    <row r="317" spans="1:7" x14ac:dyDescent="0.2">
      <c r="F317" s="2"/>
    </row>
    <row r="318" spans="1:7" ht="15" x14ac:dyDescent="0.25">
      <c r="C318" s="76">
        <f>ROUNDUP(C228,)</f>
        <v>523</v>
      </c>
      <c r="D318" s="1" t="s">
        <v>10</v>
      </c>
      <c r="F318" s="45" t="s">
        <v>95</v>
      </c>
    </row>
    <row r="319" spans="1:7" x14ac:dyDescent="0.2">
      <c r="F319" s="2"/>
    </row>
    <row r="320" spans="1:7" x14ac:dyDescent="0.2">
      <c r="A320" s="64">
        <v>840</v>
      </c>
      <c r="B320" s="64">
        <v>26050</v>
      </c>
      <c r="C320" s="64">
        <f>ROUNDUP(C326,)</f>
        <v>16763</v>
      </c>
      <c r="D320" s="60" t="s">
        <v>11</v>
      </c>
      <c r="E320" s="65"/>
      <c r="F320" s="55" t="s">
        <v>77</v>
      </c>
      <c r="G320" s="1" t="s">
        <v>58</v>
      </c>
    </row>
    <row r="321" spans="1:7" x14ac:dyDescent="0.2">
      <c r="F321" s="2"/>
    </row>
    <row r="322" spans="1:7" x14ac:dyDescent="0.2">
      <c r="C322" s="79">
        <f>C239</f>
        <v>17809</v>
      </c>
      <c r="D322" s="46" t="s">
        <v>11</v>
      </c>
      <c r="F322" s="2" t="s">
        <v>178</v>
      </c>
    </row>
    <row r="323" spans="1:7" x14ac:dyDescent="0.2">
      <c r="C323" s="79">
        <f>C318</f>
        <v>523</v>
      </c>
      <c r="D323" s="1" t="s">
        <v>10</v>
      </c>
      <c r="F323" s="2" t="s">
        <v>179</v>
      </c>
    </row>
    <row r="324" spans="1:7" x14ac:dyDescent="0.2">
      <c r="C324" s="79">
        <v>2</v>
      </c>
      <c r="D324" s="1" t="s">
        <v>10</v>
      </c>
      <c r="F324" s="2" t="s">
        <v>180</v>
      </c>
    </row>
    <row r="325" spans="1:7" x14ac:dyDescent="0.2">
      <c r="F325" s="2"/>
    </row>
    <row r="326" spans="1:7" ht="15" x14ac:dyDescent="0.25">
      <c r="C326" s="76">
        <f>C322-C323*C324</f>
        <v>16763</v>
      </c>
      <c r="D326" s="46" t="s">
        <v>11</v>
      </c>
      <c r="F326" s="45" t="s">
        <v>77</v>
      </c>
    </row>
    <row r="327" spans="1:7" x14ac:dyDescent="0.2">
      <c r="F327" s="2"/>
    </row>
    <row r="328" spans="1:7" x14ac:dyDescent="0.2">
      <c r="A328" s="64">
        <v>511</v>
      </c>
      <c r="B328" s="64">
        <v>53012</v>
      </c>
      <c r="C328" s="64">
        <f>ROUNDUP(C346/27,)</f>
        <v>110</v>
      </c>
      <c r="D328" s="60" t="s">
        <v>6</v>
      </c>
      <c r="E328" s="65"/>
      <c r="F328" s="55" t="s">
        <v>104</v>
      </c>
      <c r="G328" s="1" t="s">
        <v>58</v>
      </c>
    </row>
    <row r="329" spans="1:7" x14ac:dyDescent="0.2">
      <c r="F329" s="2"/>
    </row>
    <row r="330" spans="1:7" ht="15" x14ac:dyDescent="0.25">
      <c r="C330" s="107">
        <v>0</v>
      </c>
      <c r="D330" s="46" t="s">
        <v>11</v>
      </c>
      <c r="F330" s="45" t="s">
        <v>145</v>
      </c>
    </row>
    <row r="331" spans="1:7" ht="15" x14ac:dyDescent="0.25">
      <c r="C331" s="107">
        <v>42.82</v>
      </c>
      <c r="D331" s="46" t="s">
        <v>10</v>
      </c>
      <c r="F331" s="45" t="s">
        <v>146</v>
      </c>
    </row>
    <row r="332" spans="1:7" ht="15" x14ac:dyDescent="0.25">
      <c r="C332" s="76">
        <f>C330*C331</f>
        <v>0</v>
      </c>
      <c r="D332" s="46" t="s">
        <v>84</v>
      </c>
      <c r="F332" s="45" t="s">
        <v>147</v>
      </c>
    </row>
    <row r="333" spans="1:7" ht="15" x14ac:dyDescent="0.25">
      <c r="C333" s="107">
        <f>(22.92+22.97)/2</f>
        <v>22.945</v>
      </c>
      <c r="D333" s="46" t="s">
        <v>11</v>
      </c>
      <c r="F333" s="45" t="s">
        <v>148</v>
      </c>
    </row>
    <row r="334" spans="1:7" ht="15" x14ac:dyDescent="0.25">
      <c r="C334" s="107">
        <v>52.16</v>
      </c>
      <c r="D334" s="46" t="s">
        <v>10</v>
      </c>
      <c r="F334" s="45" t="s">
        <v>149</v>
      </c>
    </row>
    <row r="335" spans="1:7" ht="15" x14ac:dyDescent="0.25">
      <c r="C335" s="76">
        <f>C333*C334</f>
        <v>1196.8111999999999</v>
      </c>
      <c r="D335" s="46" t="s">
        <v>84</v>
      </c>
      <c r="F335" s="45" t="s">
        <v>150</v>
      </c>
    </row>
    <row r="336" spans="1:7" ht="15" x14ac:dyDescent="0.25">
      <c r="C336" s="107">
        <f>(22.97+23.72)/2</f>
        <v>23.344999999999999</v>
      </c>
      <c r="D336" s="46" t="s">
        <v>11</v>
      </c>
      <c r="F336" s="45" t="s">
        <v>151</v>
      </c>
    </row>
    <row r="337" spans="1:7" ht="15" x14ac:dyDescent="0.25">
      <c r="C337" s="107">
        <v>50</v>
      </c>
      <c r="D337" s="46" t="s">
        <v>10</v>
      </c>
      <c r="F337" s="45" t="s">
        <v>152</v>
      </c>
    </row>
    <row r="338" spans="1:7" ht="15" x14ac:dyDescent="0.25">
      <c r="C338" s="76">
        <f>C336*C337</f>
        <v>1167.25</v>
      </c>
      <c r="D338" s="46" t="s">
        <v>84</v>
      </c>
      <c r="F338" s="45" t="s">
        <v>153</v>
      </c>
    </row>
    <row r="339" spans="1:7" ht="15" x14ac:dyDescent="0.25">
      <c r="C339" s="107">
        <f>(23.72+0)/2</f>
        <v>11.86</v>
      </c>
      <c r="D339" s="46" t="s">
        <v>11</v>
      </c>
      <c r="F339" s="45" t="s">
        <v>154</v>
      </c>
    </row>
    <row r="340" spans="1:7" ht="15" x14ac:dyDescent="0.25">
      <c r="C340" s="107">
        <v>50</v>
      </c>
      <c r="D340" s="46" t="s">
        <v>10</v>
      </c>
      <c r="F340" s="45" t="s">
        <v>155</v>
      </c>
    </row>
    <row r="341" spans="1:7" ht="15" x14ac:dyDescent="0.25">
      <c r="C341" s="76">
        <f>C339*C340</f>
        <v>593</v>
      </c>
      <c r="D341" s="46" t="s">
        <v>84</v>
      </c>
      <c r="F341" s="45" t="s">
        <v>156</v>
      </c>
    </row>
    <row r="342" spans="1:7" ht="15" x14ac:dyDescent="0.25">
      <c r="C342" s="107">
        <v>0</v>
      </c>
      <c r="D342" s="46" t="s">
        <v>11</v>
      </c>
      <c r="F342" s="45" t="s">
        <v>157</v>
      </c>
    </row>
    <row r="343" spans="1:7" ht="15" x14ac:dyDescent="0.25">
      <c r="C343" s="107">
        <v>43.89</v>
      </c>
      <c r="D343" s="46" t="s">
        <v>10</v>
      </c>
      <c r="F343" s="45" t="s">
        <v>158</v>
      </c>
    </row>
    <row r="344" spans="1:7" ht="15" x14ac:dyDescent="0.25">
      <c r="C344" s="76">
        <f>C342*C343</f>
        <v>0</v>
      </c>
      <c r="D344" s="46" t="s">
        <v>84</v>
      </c>
      <c r="F344" s="45" t="s">
        <v>159</v>
      </c>
    </row>
    <row r="345" spans="1:7" x14ac:dyDescent="0.2">
      <c r="C345"/>
      <c r="D345" s="46"/>
      <c r="F345" s="45"/>
    </row>
    <row r="346" spans="1:7" x14ac:dyDescent="0.2">
      <c r="C346" s="79">
        <f>C332+C335+C338+C341+C344</f>
        <v>2957.0612000000001</v>
      </c>
      <c r="D346" s="46" t="s">
        <v>84</v>
      </c>
      <c r="F346" s="45" t="s">
        <v>85</v>
      </c>
    </row>
    <row r="347" spans="1:7" x14ac:dyDescent="0.2">
      <c r="F347" s="2"/>
    </row>
    <row r="348" spans="1:7" x14ac:dyDescent="0.2">
      <c r="A348" s="64">
        <v>511</v>
      </c>
      <c r="B348" s="64">
        <v>53012</v>
      </c>
      <c r="C348" s="64">
        <f>ROUNDUP(C353/27,0)</f>
        <v>199</v>
      </c>
      <c r="D348" s="60" t="s">
        <v>6</v>
      </c>
      <c r="E348" s="65"/>
      <c r="F348" s="55" t="s">
        <v>109</v>
      </c>
      <c r="G348" s="1" t="s">
        <v>58</v>
      </c>
    </row>
    <row r="349" spans="1:7" x14ac:dyDescent="0.2">
      <c r="F349" s="2"/>
    </row>
    <row r="350" spans="1:7" ht="15" x14ac:dyDescent="0.25">
      <c r="C350" s="76">
        <f>391.79-20</f>
        <v>371.79</v>
      </c>
      <c r="D350" s="46" t="s">
        <v>10</v>
      </c>
      <c r="F350" s="45" t="s">
        <v>129</v>
      </c>
    </row>
    <row r="351" spans="1:7" x14ac:dyDescent="0.2">
      <c r="C351" s="79">
        <v>14.406599999999999</v>
      </c>
      <c r="D351" s="46" t="s">
        <v>105</v>
      </c>
      <c r="F351" s="45" t="s">
        <v>106</v>
      </c>
    </row>
    <row r="353" spans="1:7" x14ac:dyDescent="0.2">
      <c r="C353" s="11">
        <f>C350*C351</f>
        <v>5356.2298140000003</v>
      </c>
      <c r="D353" s="46" t="s">
        <v>84</v>
      </c>
      <c r="F353" s="45" t="s">
        <v>85</v>
      </c>
    </row>
    <row r="355" spans="1:7" x14ac:dyDescent="0.2">
      <c r="A355" s="64">
        <v>209</v>
      </c>
      <c r="B355" s="64">
        <v>20000</v>
      </c>
      <c r="C355" s="64">
        <f>C357</f>
        <v>31202</v>
      </c>
      <c r="D355" s="60" t="s">
        <v>107</v>
      </c>
      <c r="E355" s="65"/>
      <c r="F355" s="55" t="s">
        <v>17</v>
      </c>
      <c r="G355" s="1" t="s">
        <v>58</v>
      </c>
    </row>
    <row r="356" spans="1:7" x14ac:dyDescent="0.2">
      <c r="F356" s="2"/>
    </row>
    <row r="357" spans="1:7" ht="15" x14ac:dyDescent="0.25">
      <c r="C357" s="76">
        <v>31202</v>
      </c>
      <c r="D357" s="46" t="s">
        <v>107</v>
      </c>
      <c r="F357" s="45" t="s">
        <v>108</v>
      </c>
    </row>
    <row r="359" spans="1:7" x14ac:dyDescent="0.2">
      <c r="A359" s="93">
        <v>516</v>
      </c>
      <c r="B359" s="93">
        <v>13200</v>
      </c>
      <c r="C359" s="64">
        <f>ROUNDUP(C364,)</f>
        <v>76</v>
      </c>
      <c r="D359" s="93" t="s">
        <v>11</v>
      </c>
      <c r="E359" s="94"/>
      <c r="F359" s="95" t="s">
        <v>110</v>
      </c>
      <c r="G359" s="1" t="s">
        <v>58</v>
      </c>
    </row>
    <row r="361" spans="1:7" ht="15" x14ac:dyDescent="0.25">
      <c r="C361" s="76">
        <f>75.68*2</f>
        <v>151.36000000000001</v>
      </c>
      <c r="D361" s="105" t="s">
        <v>10</v>
      </c>
      <c r="E361" s="103"/>
      <c r="F361" s="104" t="s">
        <v>115</v>
      </c>
    </row>
    <row r="362" spans="1:7" ht="15" x14ac:dyDescent="0.25">
      <c r="C362" s="76">
        <v>0.5</v>
      </c>
      <c r="D362" s="105" t="s">
        <v>10</v>
      </c>
      <c r="E362" s="103"/>
      <c r="F362" s="104" t="s">
        <v>113</v>
      </c>
    </row>
    <row r="363" spans="1:7" ht="15" x14ac:dyDescent="0.25">
      <c r="C363" s="107"/>
      <c r="D363" s="106"/>
      <c r="E363" s="103"/>
      <c r="F363" s="104"/>
    </row>
    <row r="364" spans="1:7" ht="15" x14ac:dyDescent="0.25">
      <c r="C364" s="76">
        <f>C361*C362</f>
        <v>75.680000000000007</v>
      </c>
      <c r="D364" s="105" t="s">
        <v>11</v>
      </c>
      <c r="E364" s="103"/>
      <c r="F364" s="104" t="s">
        <v>114</v>
      </c>
    </row>
    <row r="366" spans="1:7" x14ac:dyDescent="0.2">
      <c r="A366" s="97">
        <v>516</v>
      </c>
      <c r="B366" s="97">
        <v>13900</v>
      </c>
      <c r="C366" s="64">
        <f>ROUNDUP(C371,)</f>
        <v>857</v>
      </c>
      <c r="D366" s="97" t="s">
        <v>11</v>
      </c>
      <c r="E366" s="98"/>
      <c r="F366" s="96" t="s">
        <v>112</v>
      </c>
      <c r="G366" s="1" t="s">
        <v>58</v>
      </c>
    </row>
    <row r="368" spans="1:7" ht="15" x14ac:dyDescent="0.25">
      <c r="C368" s="76">
        <v>428.22</v>
      </c>
      <c r="D368" s="101" t="s">
        <v>10</v>
      </c>
      <c r="E368" s="99"/>
      <c r="F368" s="100" t="s">
        <v>128</v>
      </c>
    </row>
    <row r="369" spans="1:6" ht="15" x14ac:dyDescent="0.25">
      <c r="C369" s="76">
        <v>2</v>
      </c>
      <c r="D369" s="101" t="s">
        <v>10</v>
      </c>
      <c r="E369" s="99"/>
      <c r="F369" s="100" t="s">
        <v>113</v>
      </c>
    </row>
    <row r="371" spans="1:6" ht="15" x14ac:dyDescent="0.25">
      <c r="C371" s="76">
        <f>C368*C369</f>
        <v>856.44</v>
      </c>
      <c r="D371" s="101" t="s">
        <v>11</v>
      </c>
      <c r="E371" s="99"/>
      <c r="F371" s="102" t="s">
        <v>114</v>
      </c>
    </row>
    <row r="373" spans="1:6" x14ac:dyDescent="0.2">
      <c r="A373" s="97">
        <v>607</v>
      </c>
      <c r="B373" s="97">
        <v>39901</v>
      </c>
      <c r="C373" s="64">
        <f>ROUNDUP(C375,)</f>
        <v>363</v>
      </c>
      <c r="D373" s="97" t="s">
        <v>10</v>
      </c>
      <c r="E373" s="98"/>
      <c r="F373" s="96" t="s">
        <v>173</v>
      </c>
    </row>
    <row r="375" spans="1:6" ht="15" x14ac:dyDescent="0.25">
      <c r="C375" s="118">
        <v>363</v>
      </c>
      <c r="D375" s="105" t="s">
        <v>10</v>
      </c>
      <c r="E375" s="119"/>
      <c r="F375" s="104" t="s">
        <v>174</v>
      </c>
    </row>
    <row r="376" spans="1:6" ht="15" x14ac:dyDescent="0.25">
      <c r="C376" s="116"/>
      <c r="D376" s="105"/>
      <c r="E376" s="103"/>
      <c r="F376" s="104"/>
    </row>
    <row r="377" spans="1:6" x14ac:dyDescent="0.2">
      <c r="C377" s="117"/>
    </row>
    <row r="378" spans="1:6" ht="15" x14ac:dyDescent="0.25">
      <c r="C378" s="116"/>
      <c r="D378" s="105"/>
      <c r="E378" s="103"/>
      <c r="F378" s="102"/>
    </row>
  </sheetData>
  <mergeCells count="8">
    <mergeCell ref="G1:G4"/>
    <mergeCell ref="A3:A4"/>
    <mergeCell ref="B3:B4"/>
    <mergeCell ref="C3:C4"/>
    <mergeCell ref="D3:D4"/>
    <mergeCell ref="E3:E4"/>
    <mergeCell ref="F3:F4"/>
    <mergeCell ref="B1:F2"/>
  </mergeCells>
  <pageMargins left="0.75" right="0.75" top="1" bottom="1" header="0.5" footer="0.5"/>
  <pageSetup paperSize="17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AUTOTABLE</vt:lpstr>
      <vt:lpstr>Quants</vt:lpstr>
      <vt:lpstr>VOID</vt:lpstr>
      <vt:lpstr>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Grouped SPL Estimate</dc:title>
  <dc:creator>Meet Shah</dc:creator>
  <cp:lastModifiedBy>Meet Shah</cp:lastModifiedBy>
  <cp:lastPrinted>2015-09-16T14:37:51Z</cp:lastPrinted>
  <dcterms:created xsi:type="dcterms:W3CDTF">2007-01-18T14:43:23Z</dcterms:created>
  <dcterms:modified xsi:type="dcterms:W3CDTF">2021-06-09T16:41:20Z</dcterms:modified>
</cp:coreProperties>
</file>